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mc:Ignorable="x15" conformance="strict">
  <fileVersion appName="xl" lastEdited="6" lowestEdited="5" rupBuild="14420"/>
  <workbookPr dateCompatibility="0" showInkAnnotation="0" codeName="ThisWorkbook" defaultThemeVersion="124226"/>
  <mc:AlternateContent xmlns:mc="http://schemas.openxmlformats.org/markup-compatibility/2006">
    <mc:Choice Requires="x15">
      <x15ac:absPath xmlns:x15ac="http://schemas.microsoft.com/office/spreadsheetml/2010/11/ac" url="C:\Users\5253\Downloads\"/>
    </mc:Choice>
  </mc:AlternateContent>
  <bookViews>
    <workbookView xWindow="0" yWindow="0" windowWidth="19200" windowHeight="8235" tabRatio="842"/>
  </bookViews>
  <sheets>
    <sheet name="ورودی ها" sheetId="1" r:id="rId1"/>
    <sheet name="مشخصات فنی" sheetId="20" r:id="rId2"/>
    <sheet name="محاسبات  ریل" sheetId="2" r:id="rId3"/>
    <sheet name="محاسبات  سیم بکسل" sheetId="3" r:id="rId4"/>
    <sheet name="محاسبات دیگر " sheetId="4" r:id="rId5"/>
    <sheet name="Omega" sheetId="13" state="veryHidden" r:id="rId6"/>
    <sheet name="برگه نهايي" sheetId="14" r:id="rId7"/>
    <sheet name="برگه نهايي 81" sheetId="18" state="hidden" r:id="rId8"/>
    <sheet name="ریلهای راهنما" sheetId="5" r:id="rId9"/>
    <sheet name="مساحت کابین &amp; Neq(t)" sheetId="7" state="veryHidden" r:id="rId10"/>
    <sheet name="فلکه هرزگرد" sheetId="8" state="veryHidden" r:id="rId11"/>
    <sheet name="سيم بکسلها" sheetId="9" r:id="rId12"/>
    <sheet name="InsCo" sheetId="17" state="veryHidden" r:id="rId13"/>
    <sheet name="Hidden data" sheetId="16" state="veryHidden" r:id="rId14"/>
    <sheet name="Sheet1" sheetId="19" r:id="rId15"/>
  </sheets>
  <definedNames>
    <definedName name="µ1">'محاسبات  سیم بکسل'!$C$30</definedName>
    <definedName name="µ2">'محاسبات  سیم بکسل'!$C$31</definedName>
    <definedName name="µ3">'محاسبات  سیم بکسل'!$C$32</definedName>
    <definedName name="A">'محاسبات  ریل'!$C$27</definedName>
    <definedName name="a." comment="شتاب ناشی از توقف اضطراری کابین">'ورودی ها'!$D$69</definedName>
    <definedName name="A1.">'Hidden data'!$I$8</definedName>
    <definedName name="A2.">'Hidden data'!$J$8</definedName>
    <definedName name="A3.">'محاسبات دیگر '!$C$38</definedName>
    <definedName name="Alpha">'ورودی ها'!$G$37</definedName>
    <definedName name="Alpha.">'ورودی ها'!$D$38</definedName>
    <definedName name="Alpha2">'ورودی ها'!$G$36</definedName>
    <definedName name="Amax" comment="حداکثر مساحت مجاز کابین">'محاسبات دیگر '!$C$41</definedName>
    <definedName name="Amin" comment="حداقل مساحت مجاز کابین">'محاسبات دیگر '!$C$40</definedName>
    <definedName name="Atotal" comment="جمع مساحت مفید داخل کابین">'ورودی ها'!$D$15</definedName>
    <definedName name="au">'مساحت کابین &amp; Neq(t)'!$H$12</definedName>
    <definedName name="Beta">'ورودی ها'!$D$33</definedName>
    <definedName name="bu">'مساحت کابین &amp; Neq(t)'!$H$13</definedName>
    <definedName name="c.">'محاسبات  ریل'!$C$29</definedName>
    <definedName name="C1.">'برگه نهايي 81'!$I$22</definedName>
    <definedName name="C2.">'برگه نهايي 81'!$I$23</definedName>
    <definedName name="Comp" comment="زنجیر جبران دارد؟">'ورودی ها'!$D$63</definedName>
    <definedName name="CP">'ورودی ها'!$G$63</definedName>
    <definedName name="Cs">'محاسبات دیگر '!$C$24</definedName>
    <definedName name="CsMAX">'ورودی ها'!$D$26</definedName>
    <definedName name="D2d">'ورودی ها'!$I$84</definedName>
    <definedName name="DD" comment="عمف آستانه جلوی درب">'ورودی ها'!$D$19</definedName>
    <definedName name="DD1.">'ورودی ها'!$E$80</definedName>
    <definedName name="DD2.">'ورودی ها'!$E$81</definedName>
    <definedName name="DD3.">'ورودی ها'!$E$82</definedName>
    <definedName name="DD4.">'ورودی ها'!$E$83</definedName>
    <definedName name="dDP">'ورودی ها'!$D$29</definedName>
    <definedName name="dDPcar">'ورودی ها'!$D$74</definedName>
    <definedName name="dDPcwt">'ورودی ها'!$D$75</definedName>
    <definedName name="Door_Type" comment="نوع در کابین">'ورودی ها'!$D$18</definedName>
    <definedName name="Door_Types" localSheetId="7">Tbl_door[Type]</definedName>
    <definedName name="Door_Types">Tbl_door[Type]</definedName>
    <definedName name="Door_width" localSheetId="7">Tbl_DW[ِDoor_Width]</definedName>
    <definedName name="Door_width">Tbl_DW[ِDoor_Width]</definedName>
    <definedName name="DoorNo.">'Hidden data'!$H$8</definedName>
    <definedName name="Dp" comment="میانگین قطر فلکه های هرز گرد">'محاسبات  سیم بکسل'!$C$107</definedName>
    <definedName name="dPcar">'ورودی ها'!$D$76</definedName>
    <definedName name="dPcwt">'ورودی ها'!$D$77</definedName>
    <definedName name="dsr" comment="قطر سیم بکسل ها">'ورودی ها'!$D$57</definedName>
    <definedName name="Dt" comment="قطر فلکه کششی موتور">'ورودی ها'!$D$28</definedName>
    <definedName name="DT1.">'ورودی ها'!$D$80</definedName>
    <definedName name="DT2.">'ورودی ها'!$D$81</definedName>
    <definedName name="DT3.">'ورودی ها'!$D$82</definedName>
    <definedName name="DT4.">'ورودی ها'!$D$83</definedName>
    <definedName name="DW" comment="عرض بازشو درب">'ورودی ها'!$D$17</definedName>
    <definedName name="DW1.">'ورودی ها'!$C$80</definedName>
    <definedName name="DW2.">'ورودی ها'!$C$81</definedName>
    <definedName name="DW3.">'ورودی ها'!$C$82</definedName>
    <definedName name="DW4.">'ورودی ها'!$C$83</definedName>
    <definedName name="DX" comment="عمق کابین">'ورودی ها'!$D$13</definedName>
    <definedName name="DY" comment="عرض کابین">'ورودی ها'!$D$14</definedName>
    <definedName name="E">'محاسبات  ریل'!$C$23</definedName>
    <definedName name="En_D1">'Hidden data'!$H$4</definedName>
    <definedName name="En_D2">'Hidden data'!$H$5</definedName>
    <definedName name="En_D3">'Hidden data'!$H$6</definedName>
    <definedName name="En_D4">'Hidden data'!$H$7</definedName>
    <definedName name="EN81_">'ورودی ها'!$G$1</definedName>
    <definedName name="f">'برگه نهايي 81'!$I$24</definedName>
    <definedName name="f1." comment="عامل اصطکاک در حال بارگذاری">'محاسبات  سیم بکسل'!$C$33</definedName>
    <definedName name="f2." comment="عامل اصطکاک در حالت توقف اضطراری">'محاسبات  سیم بکسل'!$C$34</definedName>
    <definedName name="f3." comment="عامل اصطکاک در حالت کابین گیر کرده">'محاسبات  سیم بکسل'!$C$35</definedName>
    <definedName name="Fa">'مساحت کابین &amp; Neq(t)'!$H$7</definedName>
    <definedName name="Fau">'مساحت کابین &amp; Neq(t)'!#REF!</definedName>
    <definedName name="Fav">'مساحت کابین &amp; Neq(t)'!$H$7</definedName>
    <definedName name="Fbu">'مساحت کابین &amp; Neq(t)'!$H$11</definedName>
    <definedName name="File_ID">'ورودی ها'!$C$2</definedName>
    <definedName name="File_ID_Temp">'ورودی ها'!$G$2</definedName>
    <definedName name="Fk" comment="نیروی کمانشی">'محاسبات  ریل'!$C$40</definedName>
    <definedName name="FRCar" comment="جرم واحد طول طناب/زنجیر جبران">'ورودی ها'!$D$67</definedName>
    <definedName name="FRCwt">'ورودی ها'!$D$68</definedName>
    <definedName name="Fs">'محاسبات  ریل'!$C$24</definedName>
    <definedName name="Fsr_min" comment="حداقل بار گسیختگی سیم بکسل">'محاسبات  سیم بکسل'!$C$6</definedName>
    <definedName name="Gamma">'ورودی ها'!$D$30</definedName>
    <definedName name="gn">'محاسبات دیگر '!$C$9</definedName>
    <definedName name="Groove_Type">'ورودی ها'!$D$31</definedName>
    <definedName name="Group1">'ورودی ها'!$G$34</definedName>
    <definedName name="GroupAlpha">'ورودی ها'!$F$31</definedName>
    <definedName name="Guide_Rail_Table">'ریلهای راهنما'!$B$4:$M$16</definedName>
    <definedName name="Guide_Rail_Type">'ورودی ها'!$G$40</definedName>
    <definedName name="Guide_Shoe_Table">'فلکه هرزگرد'!$B$16:$D$18</definedName>
    <definedName name="Guide_Shoe_Type">'ورودی ها'!$D$22</definedName>
    <definedName name="h">'ورودی ها'!$D$43</definedName>
    <definedName name="H.">'ورودی ها'!$D$9</definedName>
    <definedName name="Hardened">'ورودی ها'!$D$32</definedName>
    <definedName name="hP">'ورودی ها'!$D$36</definedName>
    <definedName name="i">'محاسبات  ریل'!$C$34</definedName>
    <definedName name="iDPcar">'ورودی ها'!$C$74</definedName>
    <definedName name="iDPcwt">'ورودی ها'!$C$75</definedName>
    <definedName name="InputErr">'ورودی ها'!$H$84</definedName>
    <definedName name="InsCoName" localSheetId="7">Tbl_InsCo[نام شرکت]</definedName>
    <definedName name="InsCoName">Tbl_InsCo[نام شرکت]</definedName>
    <definedName name="iPcar">'ورودی ها'!$C$76</definedName>
    <definedName name="iPcwt">'ورودی ها'!$C$77</definedName>
    <definedName name="Ix">'محاسبات  ریل'!$C$30</definedName>
    <definedName name="Iy">'محاسبات  ریل'!$C$31</definedName>
    <definedName name="K1.">'محاسبات  ریل'!$C$20</definedName>
    <definedName name="K2.">'محاسبات  ریل'!$C$21</definedName>
    <definedName name="K3.">'محاسبات  ریل'!$C$22</definedName>
    <definedName name="Kp">'محاسبات  سیم بکسل'!$C$108</definedName>
    <definedName name="L">'ورودی ها'!$D$42</definedName>
    <definedName name="Lift_ID">'ورودی ها'!$C$3</definedName>
    <definedName name="Lift_ID_Temp">'ورودی ها'!$G$3</definedName>
    <definedName name="Lift_Type">'ورودی ها'!$D$7</definedName>
    <definedName name="loads">'مساحت کابین &amp; Neq(t)'!$B$4:$B$31</definedName>
    <definedName name="lp">'محاسبات  سیم بکسل'!$C$23</definedName>
    <definedName name="Maux">'ورودی ها'!$D$46</definedName>
    <definedName name="Max_Car_Area">'مساحت کابین &amp; Neq(t)'!$B$4:$C$31</definedName>
    <definedName name="MComp">'ورودی ها'!$D$66</definedName>
    <definedName name="mcr">'ورودی ها'!$D$64</definedName>
    <definedName name="MCR.">'محاسبات  سیم بکسل'!$C$15</definedName>
    <definedName name="Mcwt">'محاسبات  سیم بکسل'!$C$17</definedName>
    <definedName name="mDPcar">'محاسبات  سیم بکسل'!$C$8</definedName>
    <definedName name="mDPcwt">'محاسبات  سیم بکسل'!$C$9</definedName>
    <definedName name="mg" comment="وزن واحد طول ریل kg/m">'محاسبات  ریل'!$C$28</definedName>
    <definedName name="Mgb">'ورودی ها'!$D$27</definedName>
    <definedName name="Min_Car_Area">'مساحت کابین &amp; Neq(t)'!$E$4:$F$23</definedName>
    <definedName name="Motor_type">'ورودی ها'!$C$24</definedName>
    <definedName name="mPcar">'محاسبات  سیم بکسل'!$C$10</definedName>
    <definedName name="mPcwt">'محاسبات  سیم بکسل'!$C$11</definedName>
    <definedName name="mPTD">'ورودی ها'!$D$65</definedName>
    <definedName name="mPTD.">'محاسبات  سیم بکسل'!$C$12</definedName>
    <definedName name="msr">'محاسبات  سیم بکسل'!$C$5</definedName>
    <definedName name="MSR.">'محاسبات  سیم بکسل'!$C$14</definedName>
    <definedName name="mt">'ورودی ها'!$D$61</definedName>
    <definedName name="MTrav">'محاسبات  سیم بکسل'!$C$16</definedName>
    <definedName name="n">'ورودی ها'!$D$44</definedName>
    <definedName name="nc">'ورودی ها'!$D$62</definedName>
    <definedName name="Neq">'محاسبات  سیم بکسل'!$C$111</definedName>
    <definedName name="Neqp">'محاسبات  سیم بکسل'!$C$110</definedName>
    <definedName name="Neqt">'محاسبات  سیم بکسل'!$C$109</definedName>
    <definedName name="Neqtu">'مساحت کابین &amp; Neq(t)'!$H$10</definedName>
    <definedName name="Neqtv">'مساحت کابین &amp; Neq(t)'!$H$9</definedName>
    <definedName name="Neqtv50">'مساحت کابین &amp; Neq(t)'!$H$8</definedName>
    <definedName name="Npr">'ورودی ها'!$D$71</definedName>
    <definedName name="Nps">'محاسبات  سیم بکسل'!$C$106</definedName>
    <definedName name="nS">'ورودی ها'!$D$58</definedName>
    <definedName name="nt">'ورودی ها'!$D$60</definedName>
    <definedName name="OH">'ورودی ها'!$D$20</definedName>
    <definedName name="OtherErr">'برگه نهايي'!$M$69</definedName>
    <definedName name="P">'ورودی ها'!$D$12</definedName>
    <definedName name="Passengers_No.">'ورودی ها'!$D$10</definedName>
    <definedName name="Percent">Omega!$A$28:$A$37</definedName>
    <definedName name="Pit">'ورودی ها'!$D$21</definedName>
    <definedName name="_xlnm.Print_Area" localSheetId="6">'برگه نهايي'!$A$1:$K$70</definedName>
    <definedName name="_xlnm.Print_Area" localSheetId="7">'برگه نهايي 81'!$A$1:$K$53</definedName>
    <definedName name="_xlnm.Print_Area" localSheetId="2">'محاسبات  ریل'!$A$1:$D$128</definedName>
    <definedName name="_xlnm.Print_Area" localSheetId="3">'محاسبات  سیم بکسل'!$A$1:$D$119</definedName>
    <definedName name="_xlnm.Print_Area" localSheetId="4">'محاسبات دیگر '!$A$1:$D$41</definedName>
    <definedName name="_xlnm.Print_Area" localSheetId="0">'ورودی ها'!$A$2:$E$83</definedName>
    <definedName name="_xlnm.Print_Titles" localSheetId="0">'ورودی ها'!$2:$5</definedName>
    <definedName name="PulleyReducedMass">'فلکه هرزگرد'!$B$3:$O$13</definedName>
    <definedName name="Q">'ورودی ها'!$D$11</definedName>
    <definedName name="q.">'ورودی ها'!$D$45</definedName>
    <definedName name="Q1.">'محاسبات  سیم بکسل'!$C$39</definedName>
    <definedName name="Q2.">'محاسبات  سیم بکسل'!$C$55</definedName>
    <definedName name="Q3.">'محاسبات  سیم بکسل'!$C$71</definedName>
    <definedName name="qm">'محاسبات دیگر '!$E$26</definedName>
    <definedName name="r.">'ورودی ها'!$D$59</definedName>
    <definedName name="RailErr">'برگه نهايي'!$M$31</definedName>
    <definedName name="RDB">'ورودی ها'!$D$35</definedName>
    <definedName name="Rope">'ورودی ها'!$F$56</definedName>
    <definedName name="Rope_Brand">'ورودی ها'!$E$56</definedName>
    <definedName name="Rope_Data_Table">'سيم بکسلها'!$A$7:$W$15</definedName>
    <definedName name="Rope_Type">'ورودی ها'!$G$56</definedName>
    <definedName name="Rope_Type_Table" localSheetId="7">Tbl_Rope[]</definedName>
    <definedName name="Rope_Type_Table">Tbl_Rope[]</definedName>
    <definedName name="RopeDia">'سيم بکسلها'!$A$7:$A$15</definedName>
    <definedName name="RopeErr">'برگه نهايي'!$M$52</definedName>
    <definedName name="Safety_gear_Type">'ورودی ها'!$D$41</definedName>
    <definedName name="Sf_cur">'محاسبات  سیم بکسل'!$C$114</definedName>
    <definedName name="Sf_min">'محاسبات  سیم بکسل'!$C$112</definedName>
    <definedName name="Stops">'ورودی ها'!$D$8</definedName>
    <definedName name="SumErr">'برگه نهايي'!$M$70</definedName>
    <definedName name="SumOld">'برگه نهايي 81'!$L$52</definedName>
    <definedName name="SumTmp">'برگه نهايي'!$M$71</definedName>
    <definedName name="U_angles">'مساحت کابین &amp; Neq(t)'!$J$5:$U$5</definedName>
    <definedName name="U_Neqt">'مساحت کابین &amp; Neq(t)'!$J$5:$U$6</definedName>
    <definedName name="V_angles">'مساحت کابین &amp; Neq(t)'!$J$2:$T$2</definedName>
    <definedName name="V_Neqt">'مساحت کابین &amp; Neq(t)'!$J$2:$T$3</definedName>
    <definedName name="V_Neqt50">'مساحت کابین &amp; Neq(t)'!$Z$2:$AJ$3</definedName>
    <definedName name="VCar">'ورودی ها'!$D$16</definedName>
    <definedName name="Vsr">'محاسبات  سیم بکسل'!$C$29</definedName>
    <definedName name="Wmax">'محاسبات دیگر '!$C$32</definedName>
    <definedName name="Wmid">'محاسبات دیگر '!$C$30</definedName>
    <definedName name="Wout">'ورودی ها'!$D$25</definedName>
    <definedName name="Wr">'ورودی ها'!$D$37</definedName>
    <definedName name="Wx">'محاسبات  ریل'!$C$32</definedName>
    <definedName name="Wy">'محاسبات  ریل'!$C$33</definedName>
    <definedName name="XC">'ورودی ها'!$D$47</definedName>
    <definedName name="Xi">'ورودی ها'!$D$53</definedName>
    <definedName name="XP">'ورودی ها'!$D$49</definedName>
    <definedName name="XS">'ورودی ها'!$D$51</definedName>
    <definedName name="y1.">'محاسبات  سیم بکسل'!$C$41</definedName>
    <definedName name="y2.">'محاسبات  سیم بکسل'!$C$47</definedName>
    <definedName name="y4.">'محاسبات  سیم بکسل'!$C$94</definedName>
    <definedName name="YC">'ورودی ها'!$D$48</definedName>
    <definedName name="Yi">'ورودی ها'!$D$54</definedName>
    <definedName name="YP">'ورودی ها'!$D$50</definedName>
    <definedName name="YS">'ورودی ها'!$D$52</definedName>
    <definedName name="Z_0B2838C1_64E2_4766_B82E_FE301CB42C7D_.wvu.PrintArea" localSheetId="2" hidden="1">'محاسبات  ریل'!$A$1:$D$128</definedName>
    <definedName name="Z_0B2838C1_64E2_4766_B82E_FE301CB42C7D_.wvu.PrintArea" localSheetId="3" hidden="1">'محاسبات  سیم بکسل'!$A$1:$D$114</definedName>
    <definedName name="Z_ADB28B25_780E_4315_A7F7_F519CAE45D94_.wvu.PrintArea" localSheetId="2" hidden="1">'محاسبات  ریل'!$A$1:$D$128</definedName>
    <definedName name="Z_ADB28B25_780E_4315_A7F7_F519CAE45D94_.wvu.PrintArea" localSheetId="3" hidden="1">'محاسبات  سیم بکسل'!$A$1:$D$114</definedName>
    <definedName name="Z_ADB28B25_780E_4315_A7F7_F519CAE45D94_.wvu.PrintArea" localSheetId="4" hidden="1">'محاسبات دیگر '!$A$1:$D$41</definedName>
    <definedName name="α">'محاسبات  سیم بکسل'!$C$25</definedName>
    <definedName name="α.">'ورودی ها'!$D$38</definedName>
    <definedName name="β">'ورودی ها'!$D$33</definedName>
    <definedName name="β.">'محاسبات  سیم بکسل'!$C$28</definedName>
    <definedName name="γ">'ورودی ها'!$D$30</definedName>
    <definedName name="γ.">'محاسبات  سیم بکسل'!$C$27</definedName>
    <definedName name="ηG">'ورودی ها'!$D$34</definedName>
    <definedName name="ηP">'محاسبات دیگر '!$C$21</definedName>
    <definedName name="ηs">'محاسبات دیگر '!$C$20</definedName>
    <definedName name="λ">'محاسبات  ریل'!$C$35</definedName>
    <definedName name="σk">'محاسبات  ریل'!$C$41</definedName>
    <definedName name="ω">'محاسبات  ریل'!$C$36</definedName>
  </definedNames>
  <calcPr calcId="181029"/>
  <customWorkbookViews>
    <customWorkbookView name="Hariri - Personal View" guid="{0B2838C1-64E2-4766-B82E-FE301CB42C7D}" mergeInterval="0" personalView="1" maximized="1" windowWidth="1436" windowHeight="663" tabRatio="661" activeSheetId="1"/>
    <customWorkbookView name="Final page" guid="{ADB28B25-780E-4315-A7F7-F519CAE45D94}" maximized="1" windowWidth="1436" windowHeight="619" tabRatio="661" activeSheetId="14"/>
  </customWorkbookViews>
  <extLst>
    <ext xmlns:x14="http://schemas.microsoft.com/office/spreadsheetml/2009/9/main" uri="{79F54976-1DA5-4618-B147-4CDE4B953A38}">
      <x14:workbookPr/>
    </ext>
    <ext xmlns="http://schemas.openxmlformats.org/spreadsheetml/2006/main"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purl.oclc.org/ooxml/spreadsheetml/main">
  <c r="H9" i="7" l="1"/>
  <c r="H8" i="7"/>
  <c r="F41" i="1"/>
  <c r="D31" i="18"/>
  <c r="D30" i="18"/>
  <c r="D28" i="14"/>
  <c r="E63" i="14"/>
  <c r="D63" i="14"/>
  <c r="E64" i="14"/>
  <c r="D64" i="14"/>
  <c r="C64" i="14"/>
  <c r="C63" i="14"/>
  <c r="E61" i="14"/>
  <c r="D61" i="14"/>
  <c r="E62" i="14"/>
  <c r="D62" i="14"/>
  <c r="F30" i="1"/>
  <c r="I23" i="18"/>
  <c r="D29" i="14"/>
  <c r="F31" i="20"/>
  <c r="C24" i="20"/>
  <c r="F4" i="20"/>
  <c r="C12" i="20"/>
  <c r="L10" i="20"/>
  <c r="L28" i="20"/>
  <c r="L27" i="20"/>
  <c r="I28" i="20"/>
  <c r="G40" i="20"/>
  <c r="F30" i="20"/>
  <c r="F29" i="20"/>
  <c r="F27" i="20"/>
  <c r="F26" i="20"/>
  <c r="C25" i="20"/>
  <c r="C23" i="20"/>
  <c r="C18" i="20"/>
  <c r="C17" i="20"/>
  <c r="C15" i="20"/>
  <c r="C14" i="20"/>
  <c r="C5" i="20"/>
  <c r="C3" i="20"/>
  <c r="F11" i="20"/>
  <c r="C8" i="3"/>
  <c r="C9" i="3"/>
  <c r="F75" i="1"/>
  <c r="F74" i="1"/>
  <c r="H30" i="1"/>
  <c r="F28" i="1"/>
  <c r="I28" i="1" s="1"/>
  <c r="F29" i="1"/>
  <c r="I29" i="1" s="1"/>
  <c r="F77" i="1"/>
  <c r="I77" i="1" s="1"/>
  <c r="F76" i="1"/>
  <c r="H76" i="1" s="1"/>
  <c r="H77" i="1"/>
  <c r="I75" i="1"/>
  <c r="H75" i="1"/>
  <c r="F10" i="1"/>
  <c r="H10" i="1"/>
  <c r="C59" i="1"/>
  <c r="J7" i="16"/>
  <c r="J6" i="16"/>
  <c r="J5" i="16"/>
  <c r="A1" i="19"/>
  <c r="D118" i="3"/>
  <c r="D117" i="3"/>
  <c r="D116" i="3"/>
  <c r="A119" i="3"/>
  <c r="A118" i="3"/>
  <c r="A117" i="3"/>
  <c r="A116" i="3"/>
  <c r="G50" i="14"/>
  <c r="A115" i="3"/>
  <c r="J51" i="14"/>
  <c r="H52" i="14"/>
  <c r="H51" i="14"/>
  <c r="G52" i="14"/>
  <c r="G51" i="14"/>
  <c r="E26" i="18"/>
  <c r="C22" i="3"/>
  <c r="E24" i="14"/>
  <c r="H8" i="16"/>
  <c r="F80" i="1" s="1"/>
  <c r="H80" i="1" s="1"/>
  <c r="I40" i="18"/>
  <c r="D28" i="18"/>
  <c r="C3" i="18"/>
  <c r="C2" i="18"/>
  <c r="C3" i="14"/>
  <c r="C2" i="14"/>
  <c r="D59" i="14"/>
  <c r="I43" i="18"/>
  <c r="C16" i="3"/>
  <c r="C4" i="3"/>
  <c r="C21" i="4"/>
  <c r="I42" i="18" s="1"/>
  <c r="I60" i="14"/>
  <c r="F71" i="1"/>
  <c r="H71" i="1"/>
  <c r="H10" i="7"/>
  <c r="E38" i="1"/>
  <c r="C38" i="4"/>
  <c r="M16" i="5"/>
  <c r="I33" i="18"/>
  <c r="J29" i="18"/>
  <c r="D33" i="3"/>
  <c r="J24" i="18"/>
  <c r="I22" i="18"/>
  <c r="E52" i="18"/>
  <c r="D52" i="18"/>
  <c r="C52" i="18"/>
  <c r="E51" i="18"/>
  <c r="D51" i="18"/>
  <c r="C51" i="18"/>
  <c r="E50" i="18"/>
  <c r="D50" i="18"/>
  <c r="C50" i="18"/>
  <c r="D49" i="18"/>
  <c r="D47" i="18"/>
  <c r="D46" i="18"/>
  <c r="D45" i="18"/>
  <c r="D44" i="18"/>
  <c r="D43" i="18"/>
  <c r="D42" i="18"/>
  <c r="D41" i="18"/>
  <c r="C40" i="18"/>
  <c r="D39" i="18"/>
  <c r="D38" i="18"/>
  <c r="D37" i="18"/>
  <c r="D36" i="18"/>
  <c r="D35" i="18"/>
  <c r="D34" i="18"/>
  <c r="B32" i="18"/>
  <c r="E29" i="18"/>
  <c r="D29" i="18"/>
  <c r="D27" i="18"/>
  <c r="D26" i="18"/>
  <c r="D25" i="18"/>
  <c r="D24" i="18"/>
  <c r="D23" i="18"/>
  <c r="D22" i="18"/>
  <c r="D21" i="18"/>
  <c r="C20" i="18"/>
  <c r="D19" i="18"/>
  <c r="D18" i="18"/>
  <c r="B17" i="18"/>
  <c r="D16" i="18"/>
  <c r="D15" i="18"/>
  <c r="D14" i="18"/>
  <c r="D13" i="18"/>
  <c r="D12" i="18"/>
  <c r="D11" i="18"/>
  <c r="D10" i="18"/>
  <c r="D9" i="18"/>
  <c r="C5" i="18"/>
  <c r="C4" i="18"/>
  <c r="I7" i="16"/>
  <c r="C49" i="18"/>
  <c r="E49" i="18"/>
  <c r="I6" i="16"/>
  <c r="D69" i="14"/>
  <c r="D68" i="14"/>
  <c r="D67" i="14"/>
  <c r="E69" i="14"/>
  <c r="E68" i="14"/>
  <c r="E67" i="14"/>
  <c r="E66" i="14"/>
  <c r="D66" i="14"/>
  <c r="C69" i="14"/>
  <c r="C68" i="14"/>
  <c r="C67" i="14"/>
  <c r="C66" i="14"/>
  <c r="D52" i="14"/>
  <c r="D9" i="16"/>
  <c r="C9" i="16"/>
  <c r="D8" i="16"/>
  <c r="C8" i="16"/>
  <c r="D7" i="16"/>
  <c r="C7" i="16"/>
  <c r="D6" i="16"/>
  <c r="C6" i="16"/>
  <c r="I5" i="16"/>
  <c r="I8" i="16" s="1"/>
  <c r="D5" i="16"/>
  <c r="C5" i="16"/>
  <c r="I4" i="16"/>
  <c r="D4" i="16"/>
  <c r="C4" i="16"/>
  <c r="D3" i="16"/>
  <c r="C3" i="16"/>
  <c r="D33" i="9"/>
  <c r="C33" i="9"/>
  <c r="B33" i="9"/>
  <c r="D32" i="9"/>
  <c r="C32" i="9"/>
  <c r="B32" i="9"/>
  <c r="G56" i="1"/>
  <c r="F57" i="1" s="1"/>
  <c r="L13" i="8"/>
  <c r="M13" i="8"/>
  <c r="N13" i="8"/>
  <c r="O13" i="8" s="1"/>
  <c r="K13" i="8"/>
  <c r="H13" i="8"/>
  <c r="F13" i="8"/>
  <c r="L12" i="8"/>
  <c r="M12" i="8"/>
  <c r="N12" i="8" s="1"/>
  <c r="O12" i="8" s="1"/>
  <c r="K12" i="8"/>
  <c r="H12" i="8"/>
  <c r="F12" i="8"/>
  <c r="L11" i="8"/>
  <c r="M11" i="8" s="1"/>
  <c r="N11" i="8"/>
  <c r="O11" i="8" s="1"/>
  <c r="K11" i="8"/>
  <c r="H11" i="8"/>
  <c r="F11" i="8"/>
  <c r="L10" i="8"/>
  <c r="M10" i="8" s="1"/>
  <c r="N10" i="8" s="1"/>
  <c r="O10" i="8" s="1"/>
  <c r="K10" i="8"/>
  <c r="H10" i="8"/>
  <c r="F10" i="8"/>
  <c r="L9" i="8"/>
  <c r="M9" i="8"/>
  <c r="N9" i="8" s="1"/>
  <c r="O9" i="8" s="1"/>
  <c r="K9" i="8"/>
  <c r="H9" i="8"/>
  <c r="F9" i="8"/>
  <c r="L8" i="8"/>
  <c r="M8" i="8"/>
  <c r="N8" i="8"/>
  <c r="O8" i="8"/>
  <c r="K8" i="8"/>
  <c r="H8" i="8"/>
  <c r="F8" i="8"/>
  <c r="L7" i="8"/>
  <c r="M7" i="8" s="1"/>
  <c r="N7" i="8" s="1"/>
  <c r="O7" i="8" s="1"/>
  <c r="K7" i="8"/>
  <c r="H7" i="8"/>
  <c r="F7" i="8"/>
  <c r="L6" i="8"/>
  <c r="M6" i="8"/>
  <c r="N6" i="8" s="1"/>
  <c r="O6" i="8"/>
  <c r="K6" i="8"/>
  <c r="H6" i="8"/>
  <c r="F6" i="8"/>
  <c r="L5" i="8"/>
  <c r="M5" i="8" s="1"/>
  <c r="N5" i="8" s="1"/>
  <c r="O5" i="8" s="1"/>
  <c r="K5" i="8"/>
  <c r="H5" i="8"/>
  <c r="F5" i="8"/>
  <c r="L4" i="8"/>
  <c r="M4" i="8"/>
  <c r="N4" i="8"/>
  <c r="O4" i="8" s="1"/>
  <c r="K4" i="8"/>
  <c r="H4" i="8"/>
  <c r="F4" i="8"/>
  <c r="I22" i="7"/>
  <c r="M15" i="5"/>
  <c r="M14" i="5"/>
  <c r="M13" i="5"/>
  <c r="M12" i="5"/>
  <c r="M11" i="5"/>
  <c r="M10" i="5"/>
  <c r="M9" i="5"/>
  <c r="M8" i="5"/>
  <c r="M7" i="5"/>
  <c r="M6" i="5"/>
  <c r="M5" i="5"/>
  <c r="M4" i="5"/>
  <c r="I52" i="18"/>
  <c r="I51" i="18"/>
  <c r="I37" i="18"/>
  <c r="I35" i="18"/>
  <c r="I34" i="18"/>
  <c r="I69" i="14"/>
  <c r="I68" i="14"/>
  <c r="C62" i="14"/>
  <c r="C61" i="14"/>
  <c r="D58" i="14"/>
  <c r="I61" i="14"/>
  <c r="D57" i="14"/>
  <c r="D56" i="14"/>
  <c r="D55" i="14"/>
  <c r="D54" i="14"/>
  <c r="I56" i="14"/>
  <c r="D53" i="14"/>
  <c r="I54" i="14"/>
  <c r="D51" i="14"/>
  <c r="I53" i="14"/>
  <c r="D50" i="14"/>
  <c r="D49" i="14"/>
  <c r="D48" i="14"/>
  <c r="D47" i="14"/>
  <c r="C46" i="14"/>
  <c r="D45" i="14"/>
  <c r="D44" i="14"/>
  <c r="D43" i="14"/>
  <c r="D42" i="14"/>
  <c r="D41" i="14"/>
  <c r="D40" i="14"/>
  <c r="D39" i="14"/>
  <c r="D38" i="14"/>
  <c r="D37" i="14"/>
  <c r="D36" i="14"/>
  <c r="D35" i="14"/>
  <c r="D34" i="14"/>
  <c r="D33" i="14"/>
  <c r="B15" i="14"/>
  <c r="D14" i="14"/>
  <c r="D13" i="14"/>
  <c r="D12" i="14"/>
  <c r="D32" i="14"/>
  <c r="D31" i="14"/>
  <c r="B30" i="14"/>
  <c r="E27" i="14"/>
  <c r="D27" i="14"/>
  <c r="D26" i="14"/>
  <c r="D25" i="14"/>
  <c r="D24" i="14"/>
  <c r="D23" i="14"/>
  <c r="D22" i="14"/>
  <c r="D21" i="14"/>
  <c r="D20" i="14"/>
  <c r="D19" i="14"/>
  <c r="C18" i="14"/>
  <c r="D17" i="14"/>
  <c r="D16" i="14"/>
  <c r="D9" i="14"/>
  <c r="D8" i="14"/>
  <c r="D11" i="14"/>
  <c r="D10" i="14"/>
  <c r="D7" i="14"/>
  <c r="C5" i="14"/>
  <c r="C4" i="14"/>
  <c r="C41" i="4"/>
  <c r="H10" i="16"/>
  <c r="C40" i="4"/>
  <c r="J10" i="16" s="1"/>
  <c r="C22" i="4"/>
  <c r="C20" i="4"/>
  <c r="I59" i="14" s="1"/>
  <c r="C15" i="4"/>
  <c r="C13" i="4"/>
  <c r="C12" i="4"/>
  <c r="C8" i="4"/>
  <c r="C7" i="4"/>
  <c r="C6" i="4"/>
  <c r="C5" i="4"/>
  <c r="C4" i="4"/>
  <c r="C3" i="4"/>
  <c r="C106" i="3"/>
  <c r="C105" i="3"/>
  <c r="C104" i="3"/>
  <c r="C103" i="3"/>
  <c r="C102" i="3"/>
  <c r="C101" i="3"/>
  <c r="C94" i="3"/>
  <c r="C88" i="3"/>
  <c r="C71" i="3"/>
  <c r="C70" i="3"/>
  <c r="C55" i="3"/>
  <c r="C54" i="3"/>
  <c r="C47" i="3"/>
  <c r="C15" i="3"/>
  <c r="I37" i="14" s="1"/>
  <c r="C41" i="3"/>
  <c r="C73" i="3" s="1"/>
  <c r="C39" i="3"/>
  <c r="D35" i="3"/>
  <c r="D34" i="3"/>
  <c r="C29" i="3"/>
  <c r="I17" i="18" s="1"/>
  <c r="C28" i="3"/>
  <c r="C27" i="3"/>
  <c r="D25" i="3"/>
  <c r="C24" i="3"/>
  <c r="C23" i="3"/>
  <c r="G36" i="1" s="1"/>
  <c r="C20" i="3"/>
  <c r="C11" i="3"/>
  <c r="C10" i="3"/>
  <c r="E102" i="2"/>
  <c r="E101" i="2"/>
  <c r="C101" i="2" s="1"/>
  <c r="C98" i="2"/>
  <c r="C99" i="2"/>
  <c r="C100" i="2" s="1"/>
  <c r="C84" i="2"/>
  <c r="E82" i="2"/>
  <c r="E81" i="2"/>
  <c r="C25" i="2"/>
  <c r="C24" i="2"/>
  <c r="C20" i="2"/>
  <c r="C19" i="2"/>
  <c r="C18" i="2"/>
  <c r="C17" i="2"/>
  <c r="C16" i="2"/>
  <c r="C15" i="2"/>
  <c r="C14" i="2"/>
  <c r="C13" i="2"/>
  <c r="C12" i="2"/>
  <c r="C11" i="2"/>
  <c r="C10" i="2"/>
  <c r="C9" i="2"/>
  <c r="C8" i="2"/>
  <c r="C7" i="2"/>
  <c r="C6" i="2"/>
  <c r="C5" i="2"/>
  <c r="C4" i="2"/>
  <c r="D63" i="1"/>
  <c r="C12" i="3" s="1"/>
  <c r="C13" i="3"/>
  <c r="H41" i="1"/>
  <c r="G40" i="1"/>
  <c r="E37" i="1"/>
  <c r="F18" i="1"/>
  <c r="E18" i="1"/>
  <c r="F68" i="1"/>
  <c r="H68" i="1" s="1"/>
  <c r="F67" i="1"/>
  <c r="H67" i="1" s="1"/>
  <c r="I57" i="1"/>
  <c r="H57" i="1"/>
  <c r="C109" i="3"/>
  <c r="I46" i="14"/>
  <c r="C116" i="3"/>
  <c r="E40" i="18"/>
  <c r="I41" i="18"/>
  <c r="C30" i="4"/>
  <c r="C115" i="2"/>
  <c r="C116" i="2"/>
  <c r="I27" i="14"/>
  <c r="I21" i="18"/>
  <c r="I24" i="18"/>
  <c r="G37" i="1"/>
  <c r="C33" i="2"/>
  <c r="C49" i="14"/>
  <c r="C43" i="18"/>
  <c r="I33" i="14"/>
  <c r="C33" i="3"/>
  <c r="E56" i="1"/>
  <c r="D26" i="2"/>
  <c r="C34" i="2"/>
  <c r="E46" i="14"/>
  <c r="E5" i="16"/>
  <c r="E6" i="16"/>
  <c r="E3" i="16"/>
  <c r="E8" i="16"/>
  <c r="E7" i="16"/>
  <c r="E9" i="16"/>
  <c r="C118" i="2"/>
  <c r="C79" i="3"/>
  <c r="C63" i="3"/>
  <c r="C81" i="3"/>
  <c r="C62" i="2"/>
  <c r="E66" i="2"/>
  <c r="E40" i="1"/>
  <c r="F38" i="20" s="1"/>
  <c r="F56" i="1"/>
  <c r="L29" i="20" s="1"/>
  <c r="C28" i="2"/>
  <c r="I58" i="14" s="1"/>
  <c r="E45" i="2"/>
  <c r="C44" i="2" s="1"/>
  <c r="C45" i="2" s="1"/>
  <c r="C46" i="2" s="1"/>
  <c r="C85" i="2"/>
  <c r="C80" i="3"/>
  <c r="E31" i="14"/>
  <c r="E44" i="2"/>
  <c r="C40" i="2"/>
  <c r="I14" i="14" s="1"/>
  <c r="C17" i="4"/>
  <c r="C107" i="3"/>
  <c r="C108" i="3" s="1"/>
  <c r="C81" i="2"/>
  <c r="J4" i="16"/>
  <c r="C16" i="20"/>
  <c r="I51" i="14"/>
  <c r="I11" i="18"/>
  <c r="I10" i="14"/>
  <c r="I11" i="14"/>
  <c r="C17" i="3"/>
  <c r="L44" i="18"/>
  <c r="D31" i="4"/>
  <c r="C117" i="2"/>
  <c r="C6" i="3"/>
  <c r="I19" i="18" s="1"/>
  <c r="C36" i="4"/>
  <c r="C89" i="3"/>
  <c r="C102" i="2"/>
  <c r="I4" i="14"/>
  <c r="I4" i="18"/>
  <c r="I64" i="14"/>
  <c r="C26" i="3"/>
  <c r="D32" i="18"/>
  <c r="C25" i="3"/>
  <c r="D30" i="14"/>
  <c r="I32" i="14"/>
  <c r="C75" i="3"/>
  <c r="C58" i="3"/>
  <c r="I16" i="18"/>
  <c r="I44" i="18"/>
  <c r="C23" i="4"/>
  <c r="J8" i="16"/>
  <c r="C37" i="4" s="1"/>
  <c r="C117" i="3"/>
  <c r="C118" i="3"/>
  <c r="C119" i="3"/>
  <c r="I52" i="14"/>
  <c r="D119" i="3"/>
  <c r="J52" i="14"/>
  <c r="I47" i="14" l="1"/>
  <c r="C110" i="3"/>
  <c r="C111" i="3" s="1"/>
  <c r="C112" i="3" s="1"/>
  <c r="I49" i="14" s="1"/>
  <c r="C50" i="3"/>
  <c r="C44" i="3"/>
  <c r="I27" i="18"/>
  <c r="C5" i="3"/>
  <c r="L26" i="20"/>
  <c r="C82" i="2"/>
  <c r="C83" i="2" s="1"/>
  <c r="I35" i="14"/>
  <c r="C63" i="2"/>
  <c r="C64" i="2" s="1"/>
  <c r="C119" i="2"/>
  <c r="C35" i="2"/>
  <c r="C36" i="2" s="1"/>
  <c r="I15" i="18" s="1"/>
  <c r="G15" i="18" s="1"/>
  <c r="L15" i="18" s="1"/>
  <c r="I12" i="18"/>
  <c r="L64" i="14"/>
  <c r="I47" i="18"/>
  <c r="C31" i="2"/>
  <c r="C30" i="2"/>
  <c r="C32" i="2"/>
  <c r="C26" i="2"/>
  <c r="I6" i="18"/>
  <c r="C47" i="2"/>
  <c r="I76" i="1"/>
  <c r="C35" i="3"/>
  <c r="C21" i="3"/>
  <c r="I39" i="18"/>
  <c r="I38" i="14"/>
  <c r="I25" i="18"/>
  <c r="C65" i="3"/>
  <c r="E4" i="16"/>
  <c r="D15" i="1"/>
  <c r="I14" i="18"/>
  <c r="C95" i="3"/>
  <c r="C43" i="3"/>
  <c r="C7" i="3"/>
  <c r="C29" i="2"/>
  <c r="C57" i="3"/>
  <c r="C31" i="3"/>
  <c r="C34" i="3" s="1"/>
  <c r="C27" i="2"/>
  <c r="I30" i="18"/>
  <c r="E34" i="18"/>
  <c r="E65" i="2"/>
  <c r="C65" i="2" s="1"/>
  <c r="C48" i="3"/>
  <c r="I74" i="1"/>
  <c r="I84" i="1" s="1"/>
  <c r="H74" i="1"/>
  <c r="C76" i="2" l="1"/>
  <c r="A76" i="2" s="1"/>
  <c r="C66" i="2"/>
  <c r="C67" i="2" s="1"/>
  <c r="C69" i="2" s="1"/>
  <c r="I44" i="14"/>
  <c r="C97" i="3"/>
  <c r="C91" i="3"/>
  <c r="I9" i="14"/>
  <c r="C86" i="2"/>
  <c r="C88" i="2" s="1"/>
  <c r="I10" i="18"/>
  <c r="C120" i="2"/>
  <c r="C122" i="2" s="1"/>
  <c r="L30" i="20"/>
  <c r="C14" i="3"/>
  <c r="F63" i="1"/>
  <c r="I34" i="14"/>
  <c r="F64" i="1"/>
  <c r="H64" i="1" s="1"/>
  <c r="H84" i="1" s="1"/>
  <c r="A70" i="14" s="1"/>
  <c r="I18" i="18"/>
  <c r="C108" i="2"/>
  <c r="A108" i="2" s="1"/>
  <c r="I5" i="18"/>
  <c r="I5" i="14"/>
  <c r="C125" i="2"/>
  <c r="C73" i="2"/>
  <c r="A73" i="2" s="1"/>
  <c r="C41" i="2"/>
  <c r="I15" i="14" s="1"/>
  <c r="C58" i="2"/>
  <c r="C48" i="2"/>
  <c r="C49" i="2" s="1"/>
  <c r="C51" i="2" s="1"/>
  <c r="I8" i="18"/>
  <c r="C94" i="2"/>
  <c r="C111" i="2"/>
  <c r="A111" i="2" s="1"/>
  <c r="I7" i="14"/>
  <c r="C128" i="2"/>
  <c r="C91" i="2"/>
  <c r="C103" i="2"/>
  <c r="C105" i="2" s="1"/>
  <c r="C76" i="3"/>
  <c r="C60" i="3"/>
  <c r="C83" i="3"/>
  <c r="C66" i="3"/>
  <c r="I42" i="14"/>
  <c r="I40" i="14"/>
  <c r="I3" i="14"/>
  <c r="I3" i="18"/>
  <c r="I10" i="16"/>
  <c r="D40" i="4"/>
  <c r="C39" i="4"/>
  <c r="D17" i="18"/>
  <c r="I67" i="14"/>
  <c r="E15" i="1"/>
  <c r="D41" i="4"/>
  <c r="I50" i="18"/>
  <c r="D15" i="14"/>
  <c r="J68" i="14"/>
  <c r="L68" i="14" s="1"/>
  <c r="J51" i="18"/>
  <c r="L50" i="18" s="1"/>
  <c r="J69" i="14"/>
  <c r="L69" i="14" s="1"/>
  <c r="J52" i="18"/>
  <c r="L51" i="18" s="1"/>
  <c r="I8" i="14"/>
  <c r="C127" i="2"/>
  <c r="I9" i="18"/>
  <c r="C110" i="2"/>
  <c r="A110" i="2" s="1"/>
  <c r="C55" i="2"/>
  <c r="C93" i="2"/>
  <c r="I12" i="14"/>
  <c r="I13" i="18"/>
  <c r="C75" i="2"/>
  <c r="A75" i="2" s="1"/>
  <c r="C57" i="2"/>
  <c r="I19" i="14" l="1"/>
  <c r="G19" i="14" s="1"/>
  <c r="L19" i="14" s="1"/>
  <c r="A57" i="2"/>
  <c r="A128" i="2"/>
  <c r="I31" i="14"/>
  <c r="G31" i="14" s="1"/>
  <c r="L31" i="14" s="1"/>
  <c r="A122" i="2"/>
  <c r="C123" i="2"/>
  <c r="I24" i="14"/>
  <c r="G24" i="14" s="1"/>
  <c r="L24" i="14" s="1"/>
  <c r="A93" i="2"/>
  <c r="A127" i="2"/>
  <c r="I30" i="14"/>
  <c r="G30" i="14" s="1"/>
  <c r="L30" i="14" s="1"/>
  <c r="A51" i="2"/>
  <c r="C53" i="2"/>
  <c r="C52" i="2"/>
  <c r="A53" i="18"/>
  <c r="A55" i="2"/>
  <c r="I18" i="14"/>
  <c r="G18" i="14" s="1"/>
  <c r="L18" i="14" s="1"/>
  <c r="A105" i="2"/>
  <c r="C106" i="2"/>
  <c r="A106" i="2" s="1"/>
  <c r="I20" i="14"/>
  <c r="G20" i="14" s="1"/>
  <c r="L20" i="14" s="1"/>
  <c r="A58" i="2"/>
  <c r="A125" i="2"/>
  <c r="I29" i="14"/>
  <c r="G29" i="14" s="1"/>
  <c r="L29" i="14" s="1"/>
  <c r="C74" i="3"/>
  <c r="C77" i="3" s="1"/>
  <c r="C96" i="3"/>
  <c r="C98" i="3" s="1"/>
  <c r="A98" i="3" s="1"/>
  <c r="I28" i="18"/>
  <c r="G28" i="18" s="1"/>
  <c r="L28" i="18" s="1"/>
  <c r="C26" i="4"/>
  <c r="C90" i="3"/>
  <c r="C92" i="3" s="1"/>
  <c r="C59" i="3"/>
  <c r="C61" i="3" s="1"/>
  <c r="A61" i="3" s="1"/>
  <c r="C28" i="4"/>
  <c r="C24" i="4"/>
  <c r="C49" i="3"/>
  <c r="C51" i="3" s="1"/>
  <c r="A51" i="3" s="1"/>
  <c r="C16" i="4"/>
  <c r="C29" i="4"/>
  <c r="I29" i="18"/>
  <c r="I20" i="18"/>
  <c r="C113" i="3"/>
  <c r="C114" i="3" s="1"/>
  <c r="I36" i="14"/>
  <c r="C64" i="3"/>
  <c r="C67" i="3" s="1"/>
  <c r="A67" i="3" s="1"/>
  <c r="C42" i="3"/>
  <c r="C45" i="3" s="1"/>
  <c r="I32" i="18"/>
  <c r="J33" i="18" s="1"/>
  <c r="I26" i="18"/>
  <c r="G26" i="18" s="1"/>
  <c r="L26" i="18" s="1"/>
  <c r="C27" i="4"/>
  <c r="C82" i="3"/>
  <c r="C84" i="3" s="1"/>
  <c r="A84" i="3" s="1"/>
  <c r="A88" i="2"/>
  <c r="C89" i="2"/>
  <c r="I23" i="14"/>
  <c r="G23" i="14" s="1"/>
  <c r="L23" i="14" s="1"/>
  <c r="A91" i="2"/>
  <c r="I25" i="14"/>
  <c r="G25" i="14" s="1"/>
  <c r="L25" i="14" s="1"/>
  <c r="A94" i="2"/>
  <c r="A69" i="2"/>
  <c r="C71" i="2"/>
  <c r="A71" i="2" s="1"/>
  <c r="C70" i="2"/>
  <c r="A70" i="2" s="1"/>
  <c r="I39" i="14" l="1"/>
  <c r="G39" i="14" s="1"/>
  <c r="L39" i="14" s="1"/>
  <c r="A45" i="3"/>
  <c r="A92" i="3"/>
  <c r="I45" i="14"/>
  <c r="G45" i="14" s="1"/>
  <c r="L45" i="14" s="1"/>
  <c r="I43" i="14"/>
  <c r="G43" i="14" s="1"/>
  <c r="L43" i="14" s="1"/>
  <c r="A53" i="2"/>
  <c r="I17" i="14"/>
  <c r="G17" i="14" s="1"/>
  <c r="L17" i="14" s="1"/>
  <c r="I28" i="14"/>
  <c r="G28" i="14" s="1"/>
  <c r="L28" i="14" s="1"/>
  <c r="A123" i="2"/>
  <c r="J31" i="18"/>
  <c r="L30" i="18"/>
  <c r="I62" i="14"/>
  <c r="I45" i="18"/>
  <c r="D25" i="4"/>
  <c r="E26" i="4"/>
  <c r="A77" i="3"/>
  <c r="I22" i="14"/>
  <c r="G22" i="14" s="1"/>
  <c r="L22" i="14" s="1"/>
  <c r="A89" i="2"/>
  <c r="D114" i="3"/>
  <c r="J49" i="14"/>
  <c r="L49" i="14" s="1"/>
  <c r="I48" i="14"/>
  <c r="I38" i="18"/>
  <c r="I57" i="14"/>
  <c r="I41" i="14"/>
  <c r="G41" i="14" s="1"/>
  <c r="L41" i="14" s="1"/>
  <c r="I16" i="14"/>
  <c r="G16" i="14" s="1"/>
  <c r="L16" i="14" s="1"/>
  <c r="M31" i="14" s="1"/>
  <c r="A52" i="2"/>
  <c r="L62" i="14" l="1"/>
  <c r="J62" i="14"/>
  <c r="C32" i="4"/>
  <c r="I46" i="18"/>
  <c r="I63" i="14"/>
  <c r="J45" i="18"/>
  <c r="L42" i="18"/>
  <c r="M52" i="14"/>
  <c r="I65" i="14" l="1"/>
  <c r="D33" i="4"/>
  <c r="I48" i="18"/>
  <c r="L45" i="18"/>
  <c r="L65" i="14"/>
  <c r="M69" i="14" s="1"/>
  <c r="M70" i="14" s="1"/>
  <c r="G70" i="14" s="1"/>
  <c r="L52" i="18"/>
  <c r="G53" i="18" s="1"/>
</calcChain>
</file>

<file path=xl/sharedStrings.xml><?xml version="1.0" encoding="utf-8"?>
<sst xmlns="http://purl.oclc.org/ooxml/spreadsheetml/main" count="2011" uniqueCount="927">
  <si>
    <t>مشخصات پروژه</t>
  </si>
  <si>
    <t>شرح</t>
  </si>
  <si>
    <t>واحد</t>
  </si>
  <si>
    <t>مقدار</t>
  </si>
  <si>
    <t xml:space="preserve">پارامتر </t>
  </si>
  <si>
    <t>شماره پرونده</t>
  </si>
  <si>
    <t>نام شرکت بازرسی</t>
  </si>
  <si>
    <t>نفر</t>
  </si>
  <si>
    <t>تعداد طبقات</t>
  </si>
  <si>
    <t>سرعت نامی کابین آسانسور</t>
  </si>
  <si>
    <t>m/s</t>
  </si>
  <si>
    <t>cm</t>
  </si>
  <si>
    <t>OH =</t>
  </si>
  <si>
    <t>عمق چاهك</t>
  </si>
  <si>
    <t>Pit =</t>
  </si>
  <si>
    <t>RDB =</t>
  </si>
  <si>
    <t>مشحصات موتور و فلکه کشش</t>
  </si>
  <si>
    <t>kw</t>
  </si>
  <si>
    <t>قطر فلكه کششی موتور</t>
  </si>
  <si>
    <t>mm</t>
  </si>
  <si>
    <t>نوع شیار فلکه کشش</t>
  </si>
  <si>
    <t>سخت کاری</t>
  </si>
  <si>
    <t>درجه</t>
  </si>
  <si>
    <t>نوع ریل راهنما</t>
  </si>
  <si>
    <t>Kg</t>
  </si>
  <si>
    <t>P =</t>
  </si>
  <si>
    <t>Q =</t>
  </si>
  <si>
    <t>عمق کابین</t>
  </si>
  <si>
    <t>عرض کابین</t>
  </si>
  <si>
    <t xml:space="preserve">بیشترین فاصله بین دو براکت </t>
  </si>
  <si>
    <t>l =</t>
  </si>
  <si>
    <t>فاصله بین کفشکهای کابین</t>
  </si>
  <si>
    <t>h =</t>
  </si>
  <si>
    <t>تعداد ریل</t>
  </si>
  <si>
    <t>n =</t>
  </si>
  <si>
    <t>ضریب تعادل وزنه (بالانس)</t>
  </si>
  <si>
    <t>q =</t>
  </si>
  <si>
    <t>N</t>
  </si>
  <si>
    <t>فاصله مرکز کابین نسبت به ریل راهنما در جهت X</t>
  </si>
  <si>
    <t>فاصله مرکز کابین نسبت به ریل راهنما در جهت Y</t>
  </si>
  <si>
    <t>فاصله مرکز جرم کاببن  از ریل راهنما در جهت X</t>
  </si>
  <si>
    <t>فاصله مرکز جرم کابین  از ریل راهنما در جهت Y</t>
  </si>
  <si>
    <t>فاصله مرکز آویز نسبت به ریل راهنما در جهت X</t>
  </si>
  <si>
    <t>فاصله در کابین سبت به ریل راهنما در جهت X</t>
  </si>
  <si>
    <t>فاصله در کابین سبت به ریل راهنما در جهت Y</t>
  </si>
  <si>
    <t>PAWO F7 S</t>
  </si>
  <si>
    <t>kg</t>
  </si>
  <si>
    <t>تعداد طناب های تعلیق (سیم بکسل ها)</t>
  </si>
  <si>
    <t>عدد</t>
  </si>
  <si>
    <t>تعداد کابل متحرک (تراول کابل)</t>
  </si>
  <si>
    <t>جرم واحد طول طناب تعلیق (سیم بکسل)</t>
  </si>
  <si>
    <t>جرم واحد طول کابل متحرک (تراول کابل)</t>
  </si>
  <si>
    <t>جرم وسیله تأمین کشش شامل جرم فلکه‌ها</t>
  </si>
  <si>
    <t>نیروی اصطکاک در چاه سمت کابین</t>
  </si>
  <si>
    <t>نیروی اصطکاک در چاه سمت وزنه تعادل</t>
  </si>
  <si>
    <t>m</t>
  </si>
  <si>
    <t>H =</t>
  </si>
  <si>
    <t>r =</t>
  </si>
  <si>
    <t>a =</t>
  </si>
  <si>
    <t>تعداد فلکه ها با خم معکوس</t>
  </si>
  <si>
    <t>تعداد فلکه ها با خم ساده</t>
  </si>
  <si>
    <t>داده ها</t>
  </si>
  <si>
    <t>بار نامی</t>
  </si>
  <si>
    <t>-</t>
  </si>
  <si>
    <t>ضریب ضربه در حالت حرکت</t>
  </si>
  <si>
    <t>ضریب ضربه قطعات کمکی</t>
  </si>
  <si>
    <t>مدول کشسانی</t>
  </si>
  <si>
    <t>نیروی روی درگاه</t>
  </si>
  <si>
    <t xml:space="preserve">N </t>
  </si>
  <si>
    <t>شتاب جاذبه زمین</t>
  </si>
  <si>
    <t>نوع ریل راهنمای کابین</t>
  </si>
  <si>
    <t>عرض قسمت اتصال دهنده پایه به تیغه ریل</t>
  </si>
  <si>
    <t>ممان دوم اینرسی</t>
  </si>
  <si>
    <t>مدول سطح مقطع عرضی</t>
  </si>
  <si>
    <t>حداقل شعاع ژیراسیون</t>
  </si>
  <si>
    <t>ضریب لاغری</t>
  </si>
  <si>
    <t>ضریب کمانش</t>
  </si>
  <si>
    <t>کمانش</t>
  </si>
  <si>
    <t>نیروی کمانش</t>
  </si>
  <si>
    <t>تنش کمانشی</t>
  </si>
  <si>
    <t>توریع بار در جهت محور X (جلو یا عقب کابین)</t>
  </si>
  <si>
    <t>تنش خمشی</t>
  </si>
  <si>
    <t>N.mm</t>
  </si>
  <si>
    <t>تنش مرکب</t>
  </si>
  <si>
    <t>خمش فلانچ</t>
  </si>
  <si>
    <t>خیز ها</t>
  </si>
  <si>
    <t>توریع بار در جهت محور Y (چپ یا راست کابین)</t>
  </si>
  <si>
    <t xml:space="preserve">جرم وزنه تعادلی-کششی شامل جرم فلکه‌ها </t>
  </si>
  <si>
    <t>شکل</t>
  </si>
  <si>
    <t xml:space="preserve">زیر برش </t>
  </si>
  <si>
    <t>زاویه شیار</t>
  </si>
  <si>
    <t>رادیان</t>
  </si>
  <si>
    <t xml:space="preserve">مقدار زاویه زیر برش </t>
  </si>
  <si>
    <t>سرعت سیم بکسل در سرعت نامی کابین</t>
  </si>
  <si>
    <t>ضریب اصطکاک در حالت بارگذاری با 125% باز</t>
  </si>
  <si>
    <t>ضریب اصطکاک در حالت توقف اضطراری</t>
  </si>
  <si>
    <t>ضریب اصطکاک در حالت کابین گیر کرده</t>
  </si>
  <si>
    <t>عامل اصطکاک در حالت بارگذاری با 125% بار</t>
  </si>
  <si>
    <t>عامل اصطکاک در حالت توقف اضطراری</t>
  </si>
  <si>
    <t xml:space="preserve">عامل اصطکاک در حالت کابین گیر کرده </t>
  </si>
  <si>
    <t>جرم واقعی کابل متحرک (تراول کابل)</t>
  </si>
  <si>
    <t>محاسبات ضریب اطمینان سیم بکسل ها</t>
  </si>
  <si>
    <t>وزن قابل تحمل توسط قلاب سقف موتورخانه</t>
  </si>
  <si>
    <t>جرم وزنه تعادل</t>
  </si>
  <si>
    <t>Kw</t>
  </si>
  <si>
    <t>GUIDE RAIL TECHNICAL CHARACTERISTICS</t>
  </si>
  <si>
    <t>Type</t>
  </si>
  <si>
    <t>Dimension</t>
  </si>
  <si>
    <t>Section</t>
  </si>
  <si>
    <t>Weight</t>
  </si>
  <si>
    <t>c</t>
  </si>
  <si>
    <t>Ixx</t>
  </si>
  <si>
    <t>Wxx</t>
  </si>
  <si>
    <t>ixx</t>
  </si>
  <si>
    <t>Iyy</t>
  </si>
  <si>
    <t>Wyy</t>
  </si>
  <si>
    <t>iyy</t>
  </si>
  <si>
    <r>
      <t>i</t>
    </r>
    <r>
      <rPr>
        <vertAlign val="subscript"/>
        <sz val="10"/>
        <rFont val="Arial"/>
        <family val="2"/>
      </rPr>
      <t>min</t>
    </r>
  </si>
  <si>
    <t>cm2</t>
  </si>
  <si>
    <t>Kg/m</t>
  </si>
  <si>
    <t>cm4</t>
  </si>
  <si>
    <t>cm3</t>
  </si>
  <si>
    <t xml:space="preserve">T45/A </t>
  </si>
  <si>
    <t>45-45-5</t>
  </si>
  <si>
    <t>T50/A</t>
  </si>
  <si>
    <t>50-50-5</t>
  </si>
  <si>
    <t>T70-1/A</t>
  </si>
  <si>
    <t>70-65-9</t>
  </si>
  <si>
    <t>T70-70-9/A</t>
  </si>
  <si>
    <t>70-70-9</t>
  </si>
  <si>
    <t>T82/A-B</t>
  </si>
  <si>
    <t>82-68-9</t>
  </si>
  <si>
    <t>`</t>
  </si>
  <si>
    <t>T89/A-B</t>
  </si>
  <si>
    <t>89-62-16</t>
  </si>
  <si>
    <t>T90/A-B</t>
  </si>
  <si>
    <t>90-75-16</t>
  </si>
  <si>
    <t>T114/B</t>
  </si>
  <si>
    <t>114-89-16</t>
  </si>
  <si>
    <t>T125/B</t>
  </si>
  <si>
    <t>125-82-16</t>
  </si>
  <si>
    <t>T127-1/B</t>
  </si>
  <si>
    <t>127-89-16</t>
  </si>
  <si>
    <t>T127-2/B</t>
  </si>
  <si>
    <t>T140-1/B</t>
  </si>
  <si>
    <t>140-108-19</t>
  </si>
  <si>
    <t>Rated load,</t>
  </si>
  <si>
    <t xml:space="preserve">Maximum </t>
  </si>
  <si>
    <t>Number of</t>
  </si>
  <si>
    <t>Minimum</t>
  </si>
  <si>
    <t>mass</t>
  </si>
  <si>
    <t xml:space="preserve">available car </t>
  </si>
  <si>
    <t>passengers</t>
  </si>
  <si>
    <t>available car</t>
  </si>
  <si>
    <t>(kg)</t>
  </si>
  <si>
    <t>area (m2)</t>
  </si>
  <si>
    <t>Beyond 20 passengers add 0,115 m2 for each extra passenger</t>
  </si>
  <si>
    <t>Beyond 2500 kg add 0,16 m2 for each extra 100 kg</t>
  </si>
  <si>
    <t>For intermediate loads the area is determined by linear interpolation</t>
  </si>
  <si>
    <t>PAWO F3</t>
  </si>
  <si>
    <t>calculated mass</t>
  </si>
  <si>
    <t>kg/m</t>
  </si>
  <si>
    <t>kN</t>
  </si>
  <si>
    <t>زاویه پیچش طناب ها بر روی فلکه کششی</t>
  </si>
  <si>
    <t>α =</t>
  </si>
  <si>
    <t>محاسبه زاویه پیچش و اصطکاک ها</t>
  </si>
  <si>
    <t>موقعیت کابین از نیمه مسیر</t>
  </si>
  <si>
    <t>بار داخل کابین</t>
  </si>
  <si>
    <t>جرم موثر کابل متحرک (تراول کابل)</t>
  </si>
  <si>
    <t>شتاب کابین</t>
  </si>
  <si>
    <t>stops =</t>
  </si>
  <si>
    <t>DW =</t>
  </si>
  <si>
    <t>توقف</t>
  </si>
  <si>
    <t>نوع در کابین</t>
  </si>
  <si>
    <t>DD =</t>
  </si>
  <si>
    <t>مساحت آستانه جلوی در کابین</t>
  </si>
  <si>
    <t>محاسبات مساحت داخل کابین</t>
  </si>
  <si>
    <t>مساحت بین لنگه های در کابین</t>
  </si>
  <si>
    <t>مساحت داخل کابین</t>
  </si>
  <si>
    <t>جمع مساحت مفید داخل کابین</t>
  </si>
  <si>
    <t>حداکثر مساحت مجاز داخل کابین</t>
  </si>
  <si>
    <t>حداقل مساحت مجاز داخل کابین</t>
  </si>
  <si>
    <t>توان خروجی موتور</t>
  </si>
  <si>
    <t>وزن واحد طول ریل کابین</t>
  </si>
  <si>
    <t>سطح مقطع یک ریل کابین</t>
  </si>
  <si>
    <t>حالت اول: عملکرد ترمز ایمنی (پاراشوت)</t>
  </si>
  <si>
    <t xml:space="preserve">حالت دوم: استفاده عادی، در حالت حرکت </t>
  </si>
  <si>
    <t>حالت سوم: استفاده عادی در حال بارگیری</t>
  </si>
  <si>
    <t>عدد معادل فلکه‌های انحرافی</t>
  </si>
  <si>
    <t>--</t>
  </si>
  <si>
    <t>KN</t>
  </si>
  <si>
    <t>حداقل بار گسیختگی طناب تعلیق (سیم بکسل)</t>
  </si>
  <si>
    <t>عدد معادل فلکه‌ها</t>
  </si>
  <si>
    <t>8x19 سیل با مغز کنفی</t>
  </si>
  <si>
    <t>8x19 وارینگتون با مغز کنفی</t>
  </si>
  <si>
    <t>8x19 وارینگتون با مغز فولادی</t>
  </si>
  <si>
    <t>8x19 سیل با مغز نیمه فولادی</t>
  </si>
  <si>
    <t>Passenger No. =</t>
  </si>
  <si>
    <t>γ =</t>
  </si>
  <si>
    <t>β =</t>
  </si>
  <si>
    <t>ضریب نسبت بین قطر فلکه کششی و سایر فلکه‌ها</t>
  </si>
  <si>
    <t>محاسبات کشش سیم بکسل‌ها</t>
  </si>
  <si>
    <t>E =</t>
  </si>
  <si>
    <t>A =</t>
  </si>
  <si>
    <t>W =</t>
  </si>
  <si>
    <t>c =</t>
  </si>
  <si>
    <t>i =</t>
  </si>
  <si>
    <t>Comp</t>
  </si>
  <si>
    <t>آدرس پروژه</t>
  </si>
  <si>
    <t>N =</t>
  </si>
  <si>
    <t>تعداد شیار</t>
  </si>
  <si>
    <t>λ = l/i =</t>
  </si>
  <si>
    <t>تعداد</t>
  </si>
  <si>
    <t xml:space="preserve">جنس فلکه </t>
  </si>
  <si>
    <t>قطر فلکه mm</t>
  </si>
  <si>
    <t>مشخصات فلکه های هرزگرد</t>
  </si>
  <si>
    <t>محل قرارگیری فلکه</t>
  </si>
  <si>
    <t>ضریب طناب بندی (سیستم تعلیق)</t>
  </si>
  <si>
    <t>راندمان چاه</t>
  </si>
  <si>
    <t>فلکه هرزگرد متصل به کابین (متحرک)</t>
  </si>
  <si>
    <t>فلکه هرزگرد روی وزنه تعادل (متحرک)</t>
  </si>
  <si>
    <t>فلکه فاصله انداز سمت وزنه تعادل (ثابت)</t>
  </si>
  <si>
    <t>فلکه فاصله انداز سمت کابین (ثابت)</t>
  </si>
  <si>
    <t>قطر فلکه هرزگرد - میلی متر</t>
  </si>
  <si>
    <t>شتاب ناشی از توقف اضطراری کابین</t>
  </si>
  <si>
    <t>مشخصات فلکه‌های هرزگرد</t>
  </si>
  <si>
    <t>میانگین قطر همه فلکه های هرز گرد</t>
  </si>
  <si>
    <t>تدریجی</t>
  </si>
  <si>
    <t>پلیمری</t>
  </si>
  <si>
    <t>تعداد مسافر</t>
  </si>
  <si>
    <t>ارتفاع حرکت (طول مسیر)</t>
  </si>
  <si>
    <t>فاصله عمودی بین کفشکهای بالا و پایین کابین</t>
  </si>
  <si>
    <t xml:space="preserve">جرم کاهش‌یافته فلکه ی کشش طناب جبران </t>
  </si>
  <si>
    <t>فاصله افقی مرکز فلکه کششی تا مرکز پولی هرزگرد</t>
  </si>
  <si>
    <t>Nequiv(t) EN81-1</t>
  </si>
  <si>
    <t>Nequiv(t) EN81-50</t>
  </si>
  <si>
    <t>فاصله مرکز آویز  نسبت به ریل راهنما در جهت Y</t>
  </si>
  <si>
    <r>
      <t>D</t>
    </r>
    <r>
      <rPr>
        <vertAlign val="subscript"/>
        <sz val="14"/>
        <rFont val="Calibri"/>
        <family val="2"/>
        <scheme val="minor"/>
      </rPr>
      <t>X</t>
    </r>
    <r>
      <rPr>
        <sz val="14"/>
        <rFont val="Calibri"/>
        <family val="2"/>
        <scheme val="minor"/>
      </rPr>
      <t xml:space="preserve"> =</t>
    </r>
  </si>
  <si>
    <r>
      <t>D</t>
    </r>
    <r>
      <rPr>
        <vertAlign val="subscript"/>
        <sz val="14"/>
        <rFont val="Calibri"/>
        <family val="2"/>
        <scheme val="minor"/>
      </rPr>
      <t>Y</t>
    </r>
    <r>
      <rPr>
        <sz val="14"/>
        <rFont val="Calibri"/>
        <family val="2"/>
        <scheme val="minor"/>
      </rPr>
      <t xml:space="preserve"> =</t>
    </r>
  </si>
  <si>
    <r>
      <t>g</t>
    </r>
    <r>
      <rPr>
        <vertAlign val="subscript"/>
        <sz val="14"/>
        <rFont val="Calibri"/>
        <family val="2"/>
        <scheme val="minor"/>
      </rPr>
      <t>n</t>
    </r>
    <r>
      <rPr>
        <sz val="14"/>
        <rFont val="Calibri"/>
        <family val="2"/>
        <scheme val="minor"/>
      </rPr>
      <t xml:space="preserve"> =</t>
    </r>
  </si>
  <si>
    <r>
      <t>D</t>
    </r>
    <r>
      <rPr>
        <vertAlign val="subscript"/>
        <sz val="13"/>
        <rFont val="Calibri"/>
        <family val="2"/>
        <scheme val="minor"/>
      </rPr>
      <t>X</t>
    </r>
    <r>
      <rPr>
        <sz val="13"/>
        <rFont val="Calibri"/>
        <family val="2"/>
        <scheme val="minor"/>
      </rPr>
      <t xml:space="preserve"> =</t>
    </r>
  </si>
  <si>
    <r>
      <t>D</t>
    </r>
    <r>
      <rPr>
        <vertAlign val="subscript"/>
        <sz val="13"/>
        <rFont val="Calibri"/>
        <family val="2"/>
        <scheme val="minor"/>
      </rPr>
      <t>Y</t>
    </r>
    <r>
      <rPr>
        <sz val="13"/>
        <rFont val="Calibri"/>
        <family val="2"/>
        <scheme val="minor"/>
      </rPr>
      <t xml:space="preserve"> =</t>
    </r>
  </si>
  <si>
    <r>
      <t>X</t>
    </r>
    <r>
      <rPr>
        <vertAlign val="subscript"/>
        <sz val="13"/>
        <rFont val="Calibri"/>
        <family val="2"/>
        <scheme val="minor"/>
      </rPr>
      <t>C</t>
    </r>
    <r>
      <rPr>
        <sz val="13"/>
        <rFont val="Calibri"/>
        <family val="2"/>
        <scheme val="minor"/>
      </rPr>
      <t xml:space="preserve"> =</t>
    </r>
  </si>
  <si>
    <r>
      <t>Y</t>
    </r>
    <r>
      <rPr>
        <vertAlign val="subscript"/>
        <sz val="13"/>
        <rFont val="Calibri"/>
        <family val="2"/>
        <scheme val="minor"/>
      </rPr>
      <t>C</t>
    </r>
    <r>
      <rPr>
        <sz val="13"/>
        <rFont val="Calibri"/>
        <family val="2"/>
        <scheme val="minor"/>
      </rPr>
      <t xml:space="preserve"> =</t>
    </r>
  </si>
  <si>
    <r>
      <t>X</t>
    </r>
    <r>
      <rPr>
        <vertAlign val="subscript"/>
        <sz val="13"/>
        <rFont val="Calibri"/>
        <family val="2"/>
        <scheme val="minor"/>
      </rPr>
      <t>P</t>
    </r>
    <r>
      <rPr>
        <sz val="13"/>
        <rFont val="Calibri"/>
        <family val="2"/>
        <scheme val="minor"/>
      </rPr>
      <t xml:space="preserve"> =</t>
    </r>
  </si>
  <si>
    <r>
      <t>Y</t>
    </r>
    <r>
      <rPr>
        <vertAlign val="subscript"/>
        <sz val="13"/>
        <rFont val="Calibri"/>
        <family val="2"/>
        <scheme val="minor"/>
      </rPr>
      <t>P</t>
    </r>
    <r>
      <rPr>
        <sz val="13"/>
        <rFont val="Calibri"/>
        <family val="2"/>
        <scheme val="minor"/>
      </rPr>
      <t xml:space="preserve"> =</t>
    </r>
  </si>
  <si>
    <r>
      <t>X</t>
    </r>
    <r>
      <rPr>
        <vertAlign val="subscript"/>
        <sz val="13"/>
        <rFont val="Calibri"/>
        <family val="2"/>
        <scheme val="minor"/>
      </rPr>
      <t>S</t>
    </r>
    <r>
      <rPr>
        <sz val="13"/>
        <rFont val="Calibri"/>
        <family val="2"/>
        <scheme val="minor"/>
      </rPr>
      <t xml:space="preserve"> =</t>
    </r>
  </si>
  <si>
    <r>
      <t>Y</t>
    </r>
    <r>
      <rPr>
        <vertAlign val="subscript"/>
        <sz val="13"/>
        <rFont val="Calibri"/>
        <family val="2"/>
        <scheme val="minor"/>
      </rPr>
      <t>S</t>
    </r>
    <r>
      <rPr>
        <sz val="13"/>
        <rFont val="Calibri"/>
        <family val="2"/>
        <scheme val="minor"/>
      </rPr>
      <t xml:space="preserve"> =</t>
    </r>
  </si>
  <si>
    <r>
      <t>X</t>
    </r>
    <r>
      <rPr>
        <vertAlign val="subscript"/>
        <sz val="13"/>
        <rFont val="Calibri"/>
        <family val="2"/>
        <scheme val="minor"/>
      </rPr>
      <t>i</t>
    </r>
    <r>
      <rPr>
        <sz val="13"/>
        <rFont val="Calibri"/>
        <family val="2"/>
        <scheme val="minor"/>
      </rPr>
      <t xml:space="preserve"> =</t>
    </r>
  </si>
  <si>
    <r>
      <t>Y</t>
    </r>
    <r>
      <rPr>
        <vertAlign val="subscript"/>
        <sz val="13"/>
        <rFont val="Calibri"/>
        <family val="2"/>
        <scheme val="minor"/>
      </rPr>
      <t>i</t>
    </r>
    <r>
      <rPr>
        <sz val="13"/>
        <rFont val="Calibri"/>
        <family val="2"/>
        <scheme val="minor"/>
      </rPr>
      <t xml:space="preserve"> =</t>
    </r>
  </si>
  <si>
    <r>
      <t>K</t>
    </r>
    <r>
      <rPr>
        <vertAlign val="subscript"/>
        <sz val="13"/>
        <rFont val="Calibri"/>
        <family val="2"/>
        <scheme val="minor"/>
      </rPr>
      <t>1</t>
    </r>
    <r>
      <rPr>
        <sz val="13"/>
        <rFont val="Calibri"/>
        <family val="2"/>
        <scheme val="minor"/>
      </rPr>
      <t xml:space="preserve"> =</t>
    </r>
  </si>
  <si>
    <r>
      <t>K</t>
    </r>
    <r>
      <rPr>
        <vertAlign val="subscript"/>
        <sz val="13"/>
        <rFont val="Calibri"/>
        <family val="2"/>
        <scheme val="minor"/>
      </rPr>
      <t>2</t>
    </r>
    <r>
      <rPr>
        <sz val="13"/>
        <rFont val="Calibri"/>
        <family val="2"/>
        <scheme val="minor"/>
      </rPr>
      <t xml:space="preserve"> =</t>
    </r>
  </si>
  <si>
    <r>
      <t>K</t>
    </r>
    <r>
      <rPr>
        <vertAlign val="subscript"/>
        <sz val="13"/>
        <rFont val="Calibri"/>
        <family val="2"/>
        <scheme val="minor"/>
      </rPr>
      <t>3</t>
    </r>
    <r>
      <rPr>
        <sz val="13"/>
        <rFont val="Calibri"/>
        <family val="2"/>
        <scheme val="minor"/>
      </rPr>
      <t xml:space="preserve"> =</t>
    </r>
  </si>
  <si>
    <r>
      <t>F</t>
    </r>
    <r>
      <rPr>
        <vertAlign val="subscript"/>
        <sz val="13"/>
        <rFont val="Calibri"/>
        <family val="2"/>
        <scheme val="minor"/>
      </rPr>
      <t>s</t>
    </r>
    <r>
      <rPr>
        <sz val="13"/>
        <rFont val="Calibri"/>
        <family val="2"/>
        <scheme val="minor"/>
      </rPr>
      <t xml:space="preserve"> =</t>
    </r>
  </si>
  <si>
    <r>
      <t>g</t>
    </r>
    <r>
      <rPr>
        <vertAlign val="subscript"/>
        <sz val="13"/>
        <rFont val="Calibri"/>
        <family val="2"/>
        <scheme val="minor"/>
      </rPr>
      <t>n</t>
    </r>
    <r>
      <rPr>
        <sz val="13"/>
        <rFont val="Calibri"/>
        <family val="2"/>
        <scheme val="minor"/>
      </rPr>
      <t xml:space="preserve"> =</t>
    </r>
  </si>
  <si>
    <r>
      <t>I</t>
    </r>
    <r>
      <rPr>
        <vertAlign val="subscript"/>
        <sz val="13"/>
        <rFont val="Calibri"/>
        <family val="2"/>
        <scheme val="minor"/>
      </rPr>
      <t>x</t>
    </r>
    <r>
      <rPr>
        <sz val="13"/>
        <rFont val="Calibri"/>
        <family val="2"/>
        <scheme val="minor"/>
      </rPr>
      <t xml:space="preserve"> =</t>
    </r>
  </si>
  <si>
    <r>
      <t>I</t>
    </r>
    <r>
      <rPr>
        <vertAlign val="subscript"/>
        <sz val="13"/>
        <rFont val="Calibri"/>
        <family val="2"/>
        <scheme val="minor"/>
      </rPr>
      <t>y</t>
    </r>
    <r>
      <rPr>
        <sz val="13"/>
        <rFont val="Calibri"/>
        <family val="2"/>
        <scheme val="minor"/>
      </rPr>
      <t xml:space="preserve"> =</t>
    </r>
  </si>
  <si>
    <r>
      <t>W</t>
    </r>
    <r>
      <rPr>
        <vertAlign val="subscript"/>
        <sz val="13"/>
        <rFont val="Calibri"/>
        <family val="2"/>
        <scheme val="minor"/>
      </rPr>
      <t>x</t>
    </r>
    <r>
      <rPr>
        <sz val="13"/>
        <rFont val="Calibri"/>
        <family val="2"/>
        <scheme val="minor"/>
      </rPr>
      <t xml:space="preserve"> =</t>
    </r>
  </si>
  <si>
    <r>
      <t>W</t>
    </r>
    <r>
      <rPr>
        <vertAlign val="subscript"/>
        <sz val="13"/>
        <rFont val="Calibri"/>
        <family val="2"/>
        <scheme val="minor"/>
      </rPr>
      <t>y</t>
    </r>
    <r>
      <rPr>
        <sz val="13"/>
        <rFont val="Calibri"/>
        <family val="2"/>
        <scheme val="minor"/>
      </rPr>
      <t xml:space="preserve"> =</t>
    </r>
  </si>
  <si>
    <r>
      <t>F</t>
    </r>
    <r>
      <rPr>
        <vertAlign val="subscript"/>
        <sz val="13"/>
        <rFont val="Calibri"/>
        <family val="2"/>
        <scheme val="minor"/>
      </rPr>
      <t>k</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*(Q+P)/n =</t>
    </r>
  </si>
  <si>
    <r>
      <t>M</t>
    </r>
    <r>
      <rPr>
        <vertAlign val="subscript"/>
        <sz val="13"/>
        <rFont val="Calibri"/>
        <family val="2"/>
        <scheme val="minor"/>
      </rPr>
      <t>y</t>
    </r>
    <r>
      <rPr>
        <sz val="13"/>
        <rFont val="Calibri"/>
        <family val="2"/>
        <scheme val="minor"/>
      </rPr>
      <t xml:space="preserve"> = 3F</t>
    </r>
    <r>
      <rPr>
        <vertAlign val="subscript"/>
        <sz val="13"/>
        <rFont val="Calibri"/>
        <family val="2"/>
        <scheme val="minor"/>
      </rPr>
      <t>x</t>
    </r>
    <r>
      <rPr>
        <sz val="13"/>
        <rFont val="Calibri"/>
        <family val="2"/>
        <scheme val="minor"/>
      </rPr>
      <t>*L/16 =</t>
    </r>
  </si>
  <si>
    <r>
      <t>σ</t>
    </r>
    <r>
      <rPr>
        <vertAlign val="subscript"/>
        <sz val="13"/>
        <rFont val="Calibri"/>
        <family val="2"/>
        <scheme val="minor"/>
      </rPr>
      <t>y</t>
    </r>
    <r>
      <rPr>
        <sz val="13"/>
        <rFont val="Calibri"/>
        <family val="2"/>
        <scheme val="minor"/>
      </rPr>
      <t xml:space="preserve"> = M</t>
    </r>
    <r>
      <rPr>
        <vertAlign val="subscript"/>
        <sz val="13"/>
        <rFont val="Calibri"/>
        <family val="2"/>
        <scheme val="minor"/>
      </rPr>
      <t>y</t>
    </r>
    <r>
      <rPr>
        <sz val="13"/>
        <rFont val="Calibri"/>
        <family val="2"/>
        <scheme val="minor"/>
      </rPr>
      <t>/W</t>
    </r>
    <r>
      <rPr>
        <vertAlign val="subscript"/>
        <sz val="13"/>
        <rFont val="Calibri"/>
        <family val="2"/>
        <scheme val="minor"/>
      </rPr>
      <t>y</t>
    </r>
    <r>
      <rPr>
        <sz val="13"/>
        <rFont val="Calibri"/>
        <family val="2"/>
        <scheme val="minor"/>
      </rPr>
      <t xml:space="preserve"> =</t>
    </r>
  </si>
  <si>
    <r>
      <t>M</t>
    </r>
    <r>
      <rPr>
        <vertAlign val="subscript"/>
        <sz val="13"/>
        <rFont val="Calibri"/>
        <family val="2"/>
        <scheme val="minor"/>
      </rPr>
      <t>x</t>
    </r>
    <r>
      <rPr>
        <sz val="13"/>
        <rFont val="Calibri"/>
        <family val="2"/>
        <scheme val="minor"/>
      </rPr>
      <t xml:space="preserve"> = 3F</t>
    </r>
    <r>
      <rPr>
        <vertAlign val="subscript"/>
        <sz val="13"/>
        <rFont val="Calibri"/>
        <family val="2"/>
        <scheme val="minor"/>
      </rPr>
      <t>y</t>
    </r>
    <r>
      <rPr>
        <sz val="13"/>
        <rFont val="Calibri"/>
        <family val="2"/>
        <scheme val="minor"/>
      </rPr>
      <t>*l/16 =</t>
    </r>
  </si>
  <si>
    <r>
      <t>σ</t>
    </r>
    <r>
      <rPr>
        <vertAlign val="subscript"/>
        <sz val="13"/>
        <rFont val="Calibri"/>
        <family val="2"/>
        <scheme val="minor"/>
      </rPr>
      <t>x</t>
    </r>
    <r>
      <rPr>
        <sz val="13"/>
        <rFont val="Calibri"/>
        <family val="2"/>
        <scheme val="minor"/>
      </rPr>
      <t xml:space="preserve"> = M</t>
    </r>
    <r>
      <rPr>
        <vertAlign val="subscript"/>
        <sz val="13"/>
        <rFont val="Calibri"/>
        <family val="2"/>
        <scheme val="minor"/>
      </rPr>
      <t>x</t>
    </r>
    <r>
      <rPr>
        <sz val="13"/>
        <rFont val="Calibri"/>
        <family val="2"/>
        <scheme val="minor"/>
      </rPr>
      <t>/W</t>
    </r>
    <r>
      <rPr>
        <vertAlign val="subscript"/>
        <sz val="13"/>
        <rFont val="Calibri"/>
        <family val="2"/>
        <scheme val="minor"/>
      </rPr>
      <t>x</t>
    </r>
    <r>
      <rPr>
        <sz val="13"/>
        <rFont val="Calibri"/>
        <family val="2"/>
        <scheme val="minor"/>
      </rPr>
      <t xml:space="preserve"> =</t>
    </r>
  </si>
  <si>
    <r>
      <t>σ</t>
    </r>
    <r>
      <rPr>
        <vertAlign val="subscript"/>
        <sz val="13"/>
        <rFont val="Calibri"/>
        <family val="2"/>
        <scheme val="minor"/>
      </rPr>
      <t>m</t>
    </r>
    <r>
      <rPr>
        <sz val="13"/>
        <rFont val="Calibri"/>
        <family val="2"/>
        <scheme val="minor"/>
      </rPr>
      <t xml:space="preserve"> = σ</t>
    </r>
    <r>
      <rPr>
        <vertAlign val="subscript"/>
        <sz val="13"/>
        <rFont val="Calibri"/>
        <family val="2"/>
        <scheme val="minor"/>
      </rPr>
      <t>x</t>
    </r>
    <r>
      <rPr>
        <sz val="13"/>
        <rFont val="Calibri"/>
        <family val="2"/>
        <scheme val="minor"/>
      </rPr>
      <t>+σ</t>
    </r>
    <r>
      <rPr>
        <vertAlign val="subscript"/>
        <sz val="13"/>
        <rFont val="Calibri"/>
        <family val="2"/>
        <scheme val="minor"/>
      </rPr>
      <t>y</t>
    </r>
    <r>
      <rPr>
        <sz val="13"/>
        <rFont val="Calibri"/>
        <family val="2"/>
        <scheme val="minor"/>
      </rPr>
      <t xml:space="preserve"> =</t>
    </r>
  </si>
  <si>
    <r>
      <t>σ</t>
    </r>
    <r>
      <rPr>
        <vertAlign val="subscript"/>
        <sz val="13"/>
        <rFont val="Calibri"/>
        <family val="2"/>
        <scheme val="minor"/>
      </rPr>
      <t>c</t>
    </r>
    <r>
      <rPr>
        <sz val="13"/>
        <rFont val="Calibri"/>
        <family val="2"/>
        <scheme val="minor"/>
      </rPr>
      <t xml:space="preserve"> = σ</t>
    </r>
    <r>
      <rPr>
        <vertAlign val="subscript"/>
        <sz val="13"/>
        <rFont val="Calibri"/>
        <family val="2"/>
        <scheme val="minor"/>
      </rPr>
      <t>k</t>
    </r>
    <r>
      <rPr>
        <sz val="13"/>
        <rFont val="Calibri"/>
        <family val="2"/>
        <scheme val="minor"/>
      </rPr>
      <t>+0.9σ</t>
    </r>
    <r>
      <rPr>
        <vertAlign val="subscript"/>
        <sz val="13"/>
        <rFont val="Calibri"/>
        <family val="2"/>
        <scheme val="minor"/>
      </rPr>
      <t>m</t>
    </r>
    <r>
      <rPr>
        <sz val="13"/>
        <rFont val="Calibri"/>
        <family val="2"/>
        <scheme val="minor"/>
      </rPr>
      <t xml:space="preserve"> =</t>
    </r>
  </si>
  <si>
    <r>
      <t>σ</t>
    </r>
    <r>
      <rPr>
        <vertAlign val="subscript"/>
        <sz val="13"/>
        <rFont val="Calibri"/>
        <family val="2"/>
        <scheme val="minor"/>
      </rPr>
      <t>F</t>
    </r>
    <r>
      <rPr>
        <sz val="13"/>
        <rFont val="Calibri"/>
        <family val="2"/>
        <scheme val="minor"/>
      </rPr>
      <t xml:space="preserve"> = 1.85*F</t>
    </r>
    <r>
      <rPr>
        <vertAlign val="subscript"/>
        <sz val="13"/>
        <rFont val="Calibri"/>
        <family val="2"/>
        <scheme val="minor"/>
      </rPr>
      <t>x</t>
    </r>
    <r>
      <rPr>
        <sz val="13"/>
        <rFont val="Calibri"/>
        <family val="2"/>
        <scheme val="minor"/>
      </rPr>
      <t>/c^2 =</t>
    </r>
  </si>
  <si>
    <r>
      <t>δ</t>
    </r>
    <r>
      <rPr>
        <vertAlign val="subscript"/>
        <sz val="13"/>
        <rFont val="Calibri"/>
        <family val="2"/>
        <scheme val="minor"/>
      </rPr>
      <t>x</t>
    </r>
    <r>
      <rPr>
        <sz val="13"/>
        <rFont val="Calibri"/>
        <family val="2"/>
        <scheme val="minor"/>
      </rPr>
      <t xml:space="preserve"> = 0.7*F</t>
    </r>
    <r>
      <rPr>
        <vertAlign val="subscript"/>
        <sz val="13"/>
        <rFont val="Calibri"/>
        <family val="2"/>
        <scheme val="minor"/>
      </rPr>
      <t>x</t>
    </r>
    <r>
      <rPr>
        <sz val="13"/>
        <rFont val="Calibri"/>
        <family val="2"/>
        <scheme val="minor"/>
      </rPr>
      <t>*L^3/(48*E*I</t>
    </r>
    <r>
      <rPr>
        <vertAlign val="subscript"/>
        <sz val="13"/>
        <rFont val="Calibri"/>
        <family val="2"/>
        <scheme val="minor"/>
      </rPr>
      <t>y</t>
    </r>
    <r>
      <rPr>
        <sz val="13"/>
        <rFont val="Calibri"/>
        <family val="2"/>
        <scheme val="minor"/>
      </rPr>
      <t>) =</t>
    </r>
  </si>
  <si>
    <r>
      <t>δ</t>
    </r>
    <r>
      <rPr>
        <vertAlign val="subscript"/>
        <sz val="13"/>
        <rFont val="Calibri"/>
        <family val="2"/>
        <scheme val="minor"/>
      </rPr>
      <t>y</t>
    </r>
    <r>
      <rPr>
        <sz val="13"/>
        <rFont val="Calibri"/>
        <family val="2"/>
        <scheme val="minor"/>
      </rPr>
      <t xml:space="preserve"> = 0.7*F</t>
    </r>
    <r>
      <rPr>
        <vertAlign val="subscript"/>
        <sz val="13"/>
        <rFont val="Calibri"/>
        <family val="2"/>
        <scheme val="minor"/>
      </rPr>
      <t>y</t>
    </r>
    <r>
      <rPr>
        <sz val="13"/>
        <rFont val="Calibri"/>
        <family val="2"/>
        <scheme val="minor"/>
      </rPr>
      <t>L^3/(48*E*I</t>
    </r>
    <r>
      <rPr>
        <vertAlign val="subscript"/>
        <sz val="13"/>
        <rFont val="Calibri"/>
        <family val="2"/>
        <scheme val="minor"/>
      </rPr>
      <t>x</t>
    </r>
    <r>
      <rPr>
        <sz val="13"/>
        <rFont val="Calibri"/>
        <family val="2"/>
        <scheme val="minor"/>
      </rPr>
      <t>) =</t>
    </r>
  </si>
  <si>
    <r>
      <t>σ</t>
    </r>
    <r>
      <rPr>
        <vertAlign val="subscript"/>
        <sz val="13"/>
        <rFont val="Calibri"/>
        <family val="2"/>
        <scheme val="minor"/>
      </rPr>
      <t>c</t>
    </r>
    <r>
      <rPr>
        <sz val="13"/>
        <rFont val="Calibri"/>
        <family val="2"/>
        <scheme val="minor"/>
      </rPr>
      <t xml:space="preserve"> = σ</t>
    </r>
    <r>
      <rPr>
        <vertAlign val="subscript"/>
        <sz val="13"/>
        <rFont val="Calibri"/>
        <family val="2"/>
        <scheme val="minor"/>
      </rPr>
      <t>k</t>
    </r>
    <r>
      <rPr>
        <sz val="13"/>
        <rFont val="Calibri"/>
        <family val="2"/>
        <scheme val="minor"/>
      </rPr>
      <t>+0.9*σ</t>
    </r>
    <r>
      <rPr>
        <vertAlign val="subscript"/>
        <sz val="13"/>
        <rFont val="Calibri"/>
        <family val="2"/>
        <scheme val="minor"/>
      </rPr>
      <t>m</t>
    </r>
    <r>
      <rPr>
        <sz val="13"/>
        <rFont val="Calibri"/>
        <family val="2"/>
        <scheme val="minor"/>
      </rPr>
      <t xml:space="preserve"> =</t>
    </r>
  </si>
  <si>
    <r>
      <t>η</t>
    </r>
    <r>
      <rPr>
        <vertAlign val="subscript"/>
        <sz val="13"/>
        <rFont val="Calibri"/>
        <family val="2"/>
        <scheme val="minor"/>
      </rPr>
      <t>G</t>
    </r>
    <r>
      <rPr>
        <sz val="13"/>
        <rFont val="Calibri"/>
        <family val="2"/>
        <scheme val="minor"/>
      </rPr>
      <t xml:space="preserve"> =</t>
    </r>
  </si>
  <si>
    <r>
      <t>V</t>
    </r>
    <r>
      <rPr>
        <vertAlign val="subscript"/>
        <sz val="13"/>
        <rFont val="Calibri"/>
        <family val="2"/>
        <scheme val="minor"/>
      </rPr>
      <t>Car</t>
    </r>
    <r>
      <rPr>
        <sz val="13"/>
        <rFont val="Calibri"/>
        <family val="2"/>
        <scheme val="minor"/>
      </rPr>
      <t xml:space="preserve"> =</t>
    </r>
  </si>
  <si>
    <r>
      <t>W</t>
    </r>
    <r>
      <rPr>
        <vertAlign val="subscript"/>
        <sz val="13"/>
        <rFont val="Calibri"/>
        <family val="2"/>
        <scheme val="minor"/>
      </rPr>
      <t>out</t>
    </r>
    <r>
      <rPr>
        <sz val="13"/>
        <rFont val="Calibri"/>
        <family val="2"/>
        <scheme val="minor"/>
      </rPr>
      <t xml:space="preserve"> =</t>
    </r>
  </si>
  <si>
    <r>
      <t>M</t>
    </r>
    <r>
      <rPr>
        <vertAlign val="subscript"/>
        <sz val="13"/>
        <rFont val="Calibri"/>
        <family val="2"/>
        <scheme val="minor"/>
      </rPr>
      <t>gb</t>
    </r>
    <r>
      <rPr>
        <sz val="13"/>
        <rFont val="Calibri"/>
        <family val="2"/>
        <scheme val="minor"/>
      </rPr>
      <t xml:space="preserve"> =</t>
    </r>
  </si>
  <si>
    <r>
      <t>D</t>
    </r>
    <r>
      <rPr>
        <vertAlign val="subscript"/>
        <sz val="13"/>
        <rFont val="Calibri"/>
        <family val="2"/>
        <scheme val="minor"/>
      </rPr>
      <t>t</t>
    </r>
    <r>
      <rPr>
        <sz val="13"/>
        <rFont val="Calibri"/>
        <family val="2"/>
        <scheme val="minor"/>
      </rPr>
      <t xml:space="preserve"> =</t>
    </r>
  </si>
  <si>
    <r>
      <t>h</t>
    </r>
    <r>
      <rPr>
        <vertAlign val="subscript"/>
        <sz val="13"/>
        <rFont val="Calibri"/>
        <family val="2"/>
        <scheme val="minor"/>
      </rPr>
      <t>P</t>
    </r>
    <r>
      <rPr>
        <sz val="13"/>
        <rFont val="Calibri"/>
        <family val="2"/>
        <scheme val="minor"/>
      </rPr>
      <t xml:space="preserve"> =</t>
    </r>
  </si>
  <si>
    <r>
      <t>D</t>
    </r>
    <r>
      <rPr>
        <vertAlign val="subscript"/>
        <sz val="13"/>
        <rFont val="Calibri"/>
        <family val="2"/>
        <scheme val="minor"/>
      </rPr>
      <t xml:space="preserve">X </t>
    </r>
    <r>
      <rPr>
        <sz val="13"/>
        <rFont val="Calibri"/>
        <family val="2"/>
        <scheme val="minor"/>
      </rPr>
      <t>=</t>
    </r>
  </si>
  <si>
    <r>
      <t>D</t>
    </r>
    <r>
      <rPr>
        <vertAlign val="subscript"/>
        <sz val="13"/>
        <rFont val="Calibri"/>
        <family val="2"/>
        <scheme val="minor"/>
      </rPr>
      <t xml:space="preserve">Y </t>
    </r>
    <r>
      <rPr>
        <sz val="13"/>
        <rFont val="Calibri"/>
        <family val="2"/>
        <scheme val="minor"/>
      </rPr>
      <t>=</t>
    </r>
  </si>
  <si>
    <r>
      <t>X</t>
    </r>
    <r>
      <rPr>
        <vertAlign val="subscript"/>
        <sz val="13"/>
        <rFont val="Calibri"/>
        <family val="2"/>
        <scheme val="minor"/>
      </rPr>
      <t xml:space="preserve">C </t>
    </r>
    <r>
      <rPr>
        <sz val="13"/>
        <rFont val="Calibri"/>
        <family val="2"/>
        <scheme val="minor"/>
      </rPr>
      <t>=</t>
    </r>
  </si>
  <si>
    <r>
      <t>Y</t>
    </r>
    <r>
      <rPr>
        <vertAlign val="subscript"/>
        <sz val="13"/>
        <rFont val="Calibri"/>
        <family val="2"/>
        <scheme val="minor"/>
      </rPr>
      <t xml:space="preserve">C </t>
    </r>
    <r>
      <rPr>
        <sz val="13"/>
        <rFont val="Calibri"/>
        <family val="2"/>
        <scheme val="minor"/>
      </rPr>
      <t>=</t>
    </r>
  </si>
  <si>
    <r>
      <t>X</t>
    </r>
    <r>
      <rPr>
        <vertAlign val="subscript"/>
        <sz val="13"/>
        <rFont val="Calibri"/>
        <family val="2"/>
        <scheme val="minor"/>
      </rPr>
      <t xml:space="preserve">P </t>
    </r>
    <r>
      <rPr>
        <sz val="13"/>
        <rFont val="Calibri"/>
        <family val="2"/>
        <scheme val="minor"/>
      </rPr>
      <t>=</t>
    </r>
  </si>
  <si>
    <r>
      <t>Y</t>
    </r>
    <r>
      <rPr>
        <vertAlign val="subscript"/>
        <sz val="13"/>
        <rFont val="Calibri"/>
        <family val="2"/>
        <scheme val="minor"/>
      </rPr>
      <t xml:space="preserve">P </t>
    </r>
    <r>
      <rPr>
        <sz val="13"/>
        <rFont val="Calibri"/>
        <family val="2"/>
        <scheme val="minor"/>
      </rPr>
      <t>=</t>
    </r>
  </si>
  <si>
    <r>
      <t>X</t>
    </r>
    <r>
      <rPr>
        <vertAlign val="subscript"/>
        <sz val="13"/>
        <rFont val="Calibri"/>
        <family val="2"/>
        <scheme val="minor"/>
      </rPr>
      <t xml:space="preserve">S </t>
    </r>
    <r>
      <rPr>
        <sz val="13"/>
        <rFont val="Calibri"/>
        <family val="2"/>
        <scheme val="minor"/>
      </rPr>
      <t>=</t>
    </r>
  </si>
  <si>
    <r>
      <t>Y</t>
    </r>
    <r>
      <rPr>
        <vertAlign val="subscript"/>
        <sz val="13"/>
        <rFont val="Calibri"/>
        <family val="2"/>
        <scheme val="minor"/>
      </rPr>
      <t xml:space="preserve">S </t>
    </r>
    <r>
      <rPr>
        <sz val="13"/>
        <rFont val="Calibri"/>
        <family val="2"/>
        <scheme val="minor"/>
      </rPr>
      <t>=</t>
    </r>
  </si>
  <si>
    <r>
      <t>X</t>
    </r>
    <r>
      <rPr>
        <vertAlign val="subscript"/>
        <sz val="13"/>
        <rFont val="Calibri"/>
        <family val="2"/>
        <scheme val="minor"/>
      </rPr>
      <t xml:space="preserve">i </t>
    </r>
    <r>
      <rPr>
        <sz val="13"/>
        <rFont val="Calibri"/>
        <family val="2"/>
        <scheme val="minor"/>
      </rPr>
      <t>=</t>
    </r>
  </si>
  <si>
    <r>
      <t>d</t>
    </r>
    <r>
      <rPr>
        <vertAlign val="subscript"/>
        <sz val="13"/>
        <rFont val="Calibri"/>
        <family val="2"/>
        <scheme val="minor"/>
      </rPr>
      <t>r</t>
    </r>
    <r>
      <rPr>
        <sz val="13"/>
        <rFont val="Calibri"/>
        <family val="2"/>
        <scheme val="minor"/>
      </rPr>
      <t xml:space="preserve"> =</t>
    </r>
  </si>
  <si>
    <r>
      <t>n</t>
    </r>
    <r>
      <rPr>
        <vertAlign val="subscript"/>
        <sz val="13"/>
        <rFont val="Calibri"/>
        <family val="2"/>
        <scheme val="minor"/>
      </rPr>
      <t>s</t>
    </r>
    <r>
      <rPr>
        <sz val="13"/>
        <rFont val="Calibri"/>
        <family val="2"/>
        <scheme val="minor"/>
      </rPr>
      <t xml:space="preserve"> =</t>
    </r>
  </si>
  <si>
    <r>
      <t>n</t>
    </r>
    <r>
      <rPr>
        <vertAlign val="subscript"/>
        <sz val="13"/>
        <rFont val="Calibri"/>
        <family val="2"/>
        <scheme val="minor"/>
      </rPr>
      <t>t</t>
    </r>
    <r>
      <rPr>
        <sz val="13"/>
        <rFont val="Calibri"/>
        <family val="2"/>
        <scheme val="minor"/>
      </rPr>
      <t xml:space="preserve"> =</t>
    </r>
  </si>
  <si>
    <r>
      <t>M</t>
    </r>
    <r>
      <rPr>
        <vertAlign val="subscript"/>
        <sz val="13"/>
        <rFont val="Calibri"/>
        <family val="2"/>
        <scheme val="minor"/>
      </rPr>
      <t>T</t>
    </r>
    <r>
      <rPr>
        <sz val="13"/>
        <rFont val="Calibri"/>
        <family val="2"/>
        <scheme val="minor"/>
      </rPr>
      <t xml:space="preserve"> =</t>
    </r>
  </si>
  <si>
    <r>
      <t>n</t>
    </r>
    <r>
      <rPr>
        <vertAlign val="subscript"/>
        <sz val="13"/>
        <rFont val="Calibri"/>
        <family val="2"/>
        <scheme val="minor"/>
      </rPr>
      <t>c</t>
    </r>
    <r>
      <rPr>
        <sz val="13"/>
        <rFont val="Calibri"/>
        <family val="2"/>
        <scheme val="minor"/>
      </rPr>
      <t xml:space="preserve"> =</t>
    </r>
  </si>
  <si>
    <r>
      <t>M</t>
    </r>
    <r>
      <rPr>
        <vertAlign val="subscript"/>
        <sz val="13"/>
        <rFont val="Calibri"/>
        <family val="2"/>
        <scheme val="minor"/>
      </rPr>
      <t>Comp</t>
    </r>
    <r>
      <rPr>
        <sz val="13"/>
        <rFont val="Calibri"/>
        <family val="2"/>
        <scheme val="minor"/>
      </rPr>
      <t xml:space="preserve"> =</t>
    </r>
  </si>
  <si>
    <r>
      <t>N</t>
    </r>
    <r>
      <rPr>
        <vertAlign val="subscript"/>
        <sz val="13"/>
        <rFont val="Calibri"/>
        <family val="2"/>
        <scheme val="minor"/>
      </rPr>
      <t>pr</t>
    </r>
    <r>
      <rPr>
        <sz val="13"/>
        <rFont val="Calibri"/>
        <family val="2"/>
        <scheme val="minor"/>
      </rPr>
      <t xml:space="preserve"> =</t>
    </r>
  </si>
  <si>
    <t>اورهد (ارتفاع بالاسری)</t>
  </si>
  <si>
    <r>
      <t>m</t>
    </r>
    <r>
      <rPr>
        <vertAlign val="superscript"/>
        <sz val="12"/>
        <rFont val="Tahoma"/>
        <family val="2"/>
      </rPr>
      <t>2</t>
    </r>
  </si>
  <si>
    <r>
      <t>F</t>
    </r>
    <r>
      <rPr>
        <vertAlign val="subscript"/>
        <sz val="14"/>
        <rFont val="Calibri"/>
        <family val="2"/>
        <scheme val="minor"/>
      </rPr>
      <t>2</t>
    </r>
    <r>
      <rPr>
        <sz val="14"/>
        <rFont val="Calibri"/>
        <family val="2"/>
        <scheme val="minor"/>
      </rPr>
      <t xml:space="preserve"> = 4*g</t>
    </r>
    <r>
      <rPr>
        <vertAlign val="subscript"/>
        <sz val="14"/>
        <rFont val="Calibri"/>
        <family val="2"/>
        <scheme val="minor"/>
      </rPr>
      <t>n</t>
    </r>
    <r>
      <rPr>
        <sz val="14"/>
        <rFont val="Calibri"/>
        <family val="2"/>
        <scheme val="minor"/>
      </rPr>
      <t>(P+q.Q) =</t>
    </r>
  </si>
  <si>
    <r>
      <t>F</t>
    </r>
    <r>
      <rPr>
        <vertAlign val="subscript"/>
        <sz val="14"/>
        <rFont val="Calibri"/>
        <family val="2"/>
        <scheme val="minor"/>
      </rPr>
      <t>1</t>
    </r>
    <r>
      <rPr>
        <sz val="14"/>
        <rFont val="Calibri"/>
        <family val="2"/>
        <scheme val="minor"/>
      </rPr>
      <t xml:space="preserve"> = 4*g</t>
    </r>
    <r>
      <rPr>
        <vertAlign val="subscript"/>
        <sz val="14"/>
        <rFont val="Calibri"/>
        <family val="2"/>
        <scheme val="minor"/>
      </rPr>
      <t>n</t>
    </r>
    <r>
      <rPr>
        <sz val="14"/>
        <rFont val="Calibri"/>
        <family val="2"/>
        <scheme val="minor"/>
      </rPr>
      <t>(P+Q) =</t>
    </r>
  </si>
  <si>
    <r>
      <t>M</t>
    </r>
    <r>
      <rPr>
        <vertAlign val="subscript"/>
        <sz val="14"/>
        <rFont val="Calibri"/>
        <family val="2"/>
        <scheme val="minor"/>
      </rPr>
      <t>gb</t>
    </r>
    <r>
      <rPr>
        <sz val="14"/>
        <rFont val="Calibri"/>
        <family val="2"/>
        <scheme val="minor"/>
      </rPr>
      <t xml:space="preserve"> =</t>
    </r>
  </si>
  <si>
    <r>
      <t>W</t>
    </r>
    <r>
      <rPr>
        <vertAlign val="subscript"/>
        <sz val="14"/>
        <rFont val="Calibri"/>
        <family val="2"/>
        <scheme val="minor"/>
      </rPr>
      <t>out</t>
    </r>
    <r>
      <rPr>
        <sz val="14"/>
        <rFont val="Calibri"/>
        <family val="2"/>
        <scheme val="minor"/>
      </rPr>
      <t xml:space="preserve"> =</t>
    </r>
  </si>
  <si>
    <r>
      <t>A</t>
    </r>
    <r>
      <rPr>
        <vertAlign val="subscript"/>
        <sz val="14"/>
        <rFont val="Calibri"/>
        <family val="2"/>
        <scheme val="minor"/>
      </rPr>
      <t>3</t>
    </r>
    <r>
      <rPr>
        <sz val="14"/>
        <rFont val="Calibri"/>
        <family val="2"/>
        <scheme val="minor"/>
      </rPr>
      <t xml:space="preserve"> =</t>
    </r>
  </si>
  <si>
    <r>
      <t>A</t>
    </r>
    <r>
      <rPr>
        <vertAlign val="subscript"/>
        <sz val="14"/>
        <rFont val="Calibri"/>
        <family val="2"/>
        <scheme val="minor"/>
      </rPr>
      <t>total</t>
    </r>
    <r>
      <rPr>
        <sz val="14"/>
        <rFont val="Calibri"/>
        <family val="2"/>
        <scheme val="minor"/>
      </rPr>
      <t xml:space="preserve"> = A</t>
    </r>
    <r>
      <rPr>
        <vertAlign val="subscript"/>
        <sz val="14"/>
        <rFont val="Calibri"/>
        <family val="2"/>
        <scheme val="minor"/>
      </rPr>
      <t>1</t>
    </r>
    <r>
      <rPr>
        <sz val="14"/>
        <rFont val="Calibri"/>
        <family val="2"/>
        <scheme val="minor"/>
      </rPr>
      <t>+A</t>
    </r>
    <r>
      <rPr>
        <vertAlign val="subscript"/>
        <sz val="14"/>
        <rFont val="Calibri"/>
        <family val="2"/>
        <scheme val="minor"/>
      </rPr>
      <t>2</t>
    </r>
    <r>
      <rPr>
        <sz val="14"/>
        <rFont val="Calibri"/>
        <family val="2"/>
        <scheme val="minor"/>
      </rPr>
      <t>+A</t>
    </r>
    <r>
      <rPr>
        <vertAlign val="subscript"/>
        <sz val="14"/>
        <rFont val="Calibri"/>
        <family val="2"/>
        <scheme val="minor"/>
      </rPr>
      <t>3</t>
    </r>
    <r>
      <rPr>
        <sz val="14"/>
        <rFont val="Calibri"/>
        <family val="2"/>
        <scheme val="minor"/>
      </rPr>
      <t xml:space="preserve"> =</t>
    </r>
  </si>
  <si>
    <r>
      <t>F</t>
    </r>
    <r>
      <rPr>
        <vertAlign val="subscript"/>
        <sz val="13"/>
        <rFont val="Calibri"/>
        <family val="2"/>
        <scheme val="minor"/>
      </rPr>
      <t>SR_min</t>
    </r>
    <r>
      <rPr>
        <sz val="13"/>
        <rFont val="Calibri"/>
        <family val="2"/>
        <scheme val="minor"/>
      </rPr>
      <t xml:space="preserve"> =</t>
    </r>
  </si>
  <si>
    <r>
      <t>D</t>
    </r>
    <r>
      <rPr>
        <vertAlign val="subscript"/>
        <sz val="13"/>
        <rFont val="Calibri"/>
        <family val="2"/>
        <scheme val="minor"/>
      </rPr>
      <t>p</t>
    </r>
    <r>
      <rPr>
        <sz val="13"/>
        <rFont val="Calibri"/>
        <family val="2"/>
        <scheme val="minor"/>
      </rPr>
      <t xml:space="preserve"> =</t>
    </r>
  </si>
  <si>
    <r>
      <t>l</t>
    </r>
    <r>
      <rPr>
        <vertAlign val="subscript"/>
        <sz val="13"/>
        <rFont val="Calibri"/>
        <family val="2"/>
        <scheme val="minor"/>
      </rPr>
      <t>p</t>
    </r>
    <r>
      <rPr>
        <sz val="13"/>
        <rFont val="Calibri"/>
        <family val="2"/>
        <scheme val="minor"/>
      </rPr>
      <t xml:space="preserve"> =</t>
    </r>
  </si>
  <si>
    <r>
      <t>V</t>
    </r>
    <r>
      <rPr>
        <vertAlign val="subscript"/>
        <sz val="13"/>
        <rFont val="Calibri"/>
        <family val="2"/>
        <scheme val="minor"/>
      </rPr>
      <t>SR</t>
    </r>
    <r>
      <rPr>
        <sz val="13"/>
        <rFont val="Calibri"/>
        <family val="2"/>
        <scheme val="minor"/>
      </rPr>
      <t xml:space="preserve"> =</t>
    </r>
  </si>
  <si>
    <r>
      <t>µ</t>
    </r>
    <r>
      <rPr>
        <vertAlign val="subscript"/>
        <sz val="13"/>
        <rFont val="Calibri"/>
        <family val="2"/>
        <scheme val="minor"/>
      </rPr>
      <t>1</t>
    </r>
    <r>
      <rPr>
        <sz val="13"/>
        <rFont val="Calibri"/>
        <family val="2"/>
        <scheme val="minor"/>
      </rPr>
      <t xml:space="preserve"> =</t>
    </r>
  </si>
  <si>
    <r>
      <t>µ</t>
    </r>
    <r>
      <rPr>
        <vertAlign val="subscript"/>
        <sz val="13"/>
        <rFont val="Calibri"/>
        <family val="2"/>
        <scheme val="minor"/>
      </rPr>
      <t>2</t>
    </r>
    <r>
      <rPr>
        <sz val="13"/>
        <rFont val="Calibri"/>
        <family val="2"/>
        <scheme val="minor"/>
      </rPr>
      <t xml:space="preserve"> = 0.1/(1+V</t>
    </r>
    <r>
      <rPr>
        <vertAlign val="subscript"/>
        <sz val="13"/>
        <rFont val="Calibri"/>
        <family val="2"/>
        <scheme val="minor"/>
      </rPr>
      <t>SR</t>
    </r>
    <r>
      <rPr>
        <sz val="13"/>
        <rFont val="Calibri"/>
        <family val="2"/>
        <scheme val="minor"/>
      </rPr>
      <t>/10) =</t>
    </r>
  </si>
  <si>
    <r>
      <t>µ</t>
    </r>
    <r>
      <rPr>
        <vertAlign val="subscript"/>
        <sz val="13"/>
        <rFont val="Calibri"/>
        <family val="2"/>
        <scheme val="minor"/>
      </rPr>
      <t>3</t>
    </r>
    <r>
      <rPr>
        <sz val="13"/>
        <rFont val="Calibri"/>
        <family val="2"/>
        <scheme val="minor"/>
      </rPr>
      <t xml:space="preserve"> =</t>
    </r>
  </si>
  <si>
    <r>
      <t>y</t>
    </r>
    <r>
      <rPr>
        <vertAlign val="subscript"/>
        <sz val="13"/>
        <rFont val="Calibri"/>
        <family val="2"/>
        <scheme val="minor"/>
      </rPr>
      <t>1</t>
    </r>
    <r>
      <rPr>
        <sz val="13"/>
        <rFont val="Calibri"/>
        <family val="2"/>
        <scheme val="minor"/>
      </rPr>
      <t xml:space="preserve"> =</t>
    </r>
  </si>
  <si>
    <r>
      <t>Q</t>
    </r>
    <r>
      <rPr>
        <vertAlign val="subscript"/>
        <sz val="13"/>
        <rFont val="Calibri"/>
        <family val="2"/>
        <scheme val="minor"/>
      </rPr>
      <t>1</t>
    </r>
    <r>
      <rPr>
        <sz val="13"/>
        <rFont val="Calibri"/>
        <family val="2"/>
        <scheme val="minor"/>
      </rPr>
      <t xml:space="preserve"> =1.25*Q =</t>
    </r>
  </si>
  <si>
    <r>
      <t>e^(f</t>
    </r>
    <r>
      <rPr>
        <vertAlign val="subscript"/>
        <sz val="13"/>
        <rFont val="Calibri"/>
        <family val="2"/>
        <scheme val="minor"/>
      </rPr>
      <t>1</t>
    </r>
    <r>
      <rPr>
        <sz val="13"/>
        <rFont val="Calibri"/>
        <family val="2"/>
        <scheme val="minor"/>
      </rPr>
      <t>.α) =</t>
    </r>
  </si>
  <si>
    <r>
      <t>T</t>
    </r>
    <r>
      <rPr>
        <vertAlign val="subscript"/>
        <sz val="13"/>
        <rFont val="Calibri"/>
        <family val="2"/>
        <scheme val="minor"/>
      </rPr>
      <t>1</t>
    </r>
    <r>
      <rPr>
        <sz val="13"/>
        <rFont val="Calibri"/>
        <family val="2"/>
        <scheme val="minor"/>
      </rPr>
      <t>/T</t>
    </r>
    <r>
      <rPr>
        <vertAlign val="subscript"/>
        <sz val="13"/>
        <rFont val="Calibri"/>
        <family val="2"/>
        <scheme val="minor"/>
      </rPr>
      <t>2</t>
    </r>
    <r>
      <rPr>
        <sz val="13"/>
        <rFont val="Calibri"/>
        <family val="2"/>
        <scheme val="minor"/>
      </rPr>
      <t xml:space="preserve"> =</t>
    </r>
  </si>
  <si>
    <r>
      <t>y</t>
    </r>
    <r>
      <rPr>
        <vertAlign val="subscript"/>
        <sz val="13"/>
        <rFont val="Calibri"/>
        <family val="2"/>
        <scheme val="minor"/>
      </rPr>
      <t>2</t>
    </r>
    <r>
      <rPr>
        <sz val="13"/>
        <rFont val="Calibri"/>
        <family val="2"/>
        <scheme val="minor"/>
      </rPr>
      <t xml:space="preserve"> =</t>
    </r>
  </si>
  <si>
    <r>
      <t>Q</t>
    </r>
    <r>
      <rPr>
        <vertAlign val="subscript"/>
        <sz val="13"/>
        <rFont val="Calibri"/>
        <family val="2"/>
        <scheme val="minor"/>
      </rPr>
      <t>2</t>
    </r>
    <r>
      <rPr>
        <sz val="13"/>
        <rFont val="Calibri"/>
        <family val="2"/>
        <scheme val="minor"/>
      </rPr>
      <t xml:space="preserve"> =0.0*Q =</t>
    </r>
  </si>
  <si>
    <r>
      <t>e^(f</t>
    </r>
    <r>
      <rPr>
        <vertAlign val="subscript"/>
        <sz val="13"/>
        <rFont val="Calibri"/>
        <family val="2"/>
        <scheme val="minor"/>
      </rPr>
      <t>2</t>
    </r>
    <r>
      <rPr>
        <sz val="13"/>
        <rFont val="Calibri"/>
        <family val="2"/>
        <scheme val="minor"/>
      </rPr>
      <t>.α) =</t>
    </r>
  </si>
  <si>
    <r>
      <t>e^(f</t>
    </r>
    <r>
      <rPr>
        <vertAlign val="subscript"/>
        <sz val="13"/>
        <rFont val="Calibri"/>
        <family val="2"/>
        <scheme val="minor"/>
      </rPr>
      <t>3</t>
    </r>
    <r>
      <rPr>
        <sz val="13"/>
        <rFont val="Calibri"/>
        <family val="2"/>
        <scheme val="minor"/>
      </rPr>
      <t>.α) =</t>
    </r>
  </si>
  <si>
    <r>
      <t>N</t>
    </r>
    <r>
      <rPr>
        <vertAlign val="subscript"/>
        <sz val="13"/>
        <rFont val="Calibri"/>
        <family val="2"/>
        <scheme val="minor"/>
      </rPr>
      <t>ps</t>
    </r>
    <r>
      <rPr>
        <sz val="13"/>
        <rFont val="Calibri"/>
        <family val="2"/>
        <scheme val="minor"/>
      </rPr>
      <t xml:space="preserve"> =</t>
    </r>
  </si>
  <si>
    <r>
      <t>K</t>
    </r>
    <r>
      <rPr>
        <vertAlign val="subscript"/>
        <sz val="13"/>
        <rFont val="Calibri"/>
        <family val="2"/>
        <scheme val="minor"/>
      </rPr>
      <t>p</t>
    </r>
    <r>
      <rPr>
        <sz val="13"/>
        <rFont val="Calibri"/>
        <family val="2"/>
        <scheme val="minor"/>
      </rPr>
      <t>=( D</t>
    </r>
    <r>
      <rPr>
        <vertAlign val="subscript"/>
        <sz val="13"/>
        <rFont val="Calibri"/>
        <family val="2"/>
        <scheme val="minor"/>
      </rPr>
      <t>t</t>
    </r>
    <r>
      <rPr>
        <sz val="13"/>
        <rFont val="Calibri"/>
        <family val="2"/>
        <scheme val="minor"/>
      </rPr>
      <t xml:space="preserve"> / D</t>
    </r>
    <r>
      <rPr>
        <vertAlign val="subscript"/>
        <sz val="13"/>
        <rFont val="Calibri"/>
        <family val="2"/>
        <scheme val="minor"/>
      </rPr>
      <t>p</t>
    </r>
    <r>
      <rPr>
        <sz val="13"/>
        <rFont val="Calibri"/>
        <family val="2"/>
        <scheme val="minor"/>
      </rPr>
      <t xml:space="preserve"> )</t>
    </r>
    <r>
      <rPr>
        <vertAlign val="superscript"/>
        <sz val="13"/>
        <color indexed="8"/>
        <rFont val="Calibri"/>
        <family val="2"/>
        <scheme val="minor"/>
      </rPr>
      <t xml:space="preserve">4 </t>
    </r>
    <r>
      <rPr>
        <sz val="13"/>
        <color indexed="8"/>
        <rFont val="Calibri"/>
        <family val="2"/>
        <scheme val="minor"/>
      </rPr>
      <t>=</t>
    </r>
  </si>
  <si>
    <r>
      <t>N</t>
    </r>
    <r>
      <rPr>
        <vertAlign val="subscript"/>
        <sz val="13"/>
        <rFont val="Calibri"/>
        <family val="2"/>
        <scheme val="minor"/>
      </rPr>
      <t>equiv(t)</t>
    </r>
    <r>
      <rPr>
        <sz val="13"/>
        <rFont val="Calibri"/>
        <family val="2"/>
        <scheme val="minor"/>
      </rPr>
      <t xml:space="preserve"> =</t>
    </r>
  </si>
  <si>
    <r>
      <t>N</t>
    </r>
    <r>
      <rPr>
        <vertAlign val="subscript"/>
        <sz val="13"/>
        <rFont val="Calibri"/>
        <family val="2"/>
        <scheme val="minor"/>
      </rPr>
      <t xml:space="preserve">equiv(p) </t>
    </r>
    <r>
      <rPr>
        <sz val="13"/>
        <rFont val="Calibri"/>
        <family val="2"/>
        <scheme val="minor"/>
      </rPr>
      <t>= K</t>
    </r>
    <r>
      <rPr>
        <vertAlign val="subscript"/>
        <sz val="13"/>
        <rFont val="Calibri"/>
        <family val="2"/>
        <scheme val="minor"/>
      </rPr>
      <t>p</t>
    </r>
    <r>
      <rPr>
        <sz val="13"/>
        <rFont val="Calibri"/>
        <family val="2"/>
        <scheme val="minor"/>
      </rPr>
      <t xml:space="preserve"> × (N</t>
    </r>
    <r>
      <rPr>
        <vertAlign val="subscript"/>
        <sz val="13"/>
        <rFont val="Calibri"/>
        <family val="2"/>
        <scheme val="minor"/>
      </rPr>
      <t>ps</t>
    </r>
    <r>
      <rPr>
        <sz val="13"/>
        <rFont val="Calibri"/>
        <family val="2"/>
        <scheme val="minor"/>
      </rPr>
      <t xml:space="preserve"> + 4 × N</t>
    </r>
    <r>
      <rPr>
        <vertAlign val="subscript"/>
        <sz val="13"/>
        <rFont val="Calibri"/>
        <family val="2"/>
        <scheme val="minor"/>
      </rPr>
      <t>pr</t>
    </r>
    <r>
      <rPr>
        <sz val="13"/>
        <rFont val="Calibri"/>
        <family val="2"/>
        <scheme val="minor"/>
      </rPr>
      <t>) =</t>
    </r>
  </si>
  <si>
    <r>
      <t>N</t>
    </r>
    <r>
      <rPr>
        <vertAlign val="subscript"/>
        <sz val="13"/>
        <color indexed="8"/>
        <rFont val="Calibri"/>
        <family val="2"/>
        <scheme val="minor"/>
      </rPr>
      <t xml:space="preserve">equiv </t>
    </r>
    <r>
      <rPr>
        <sz val="13"/>
        <color indexed="8"/>
        <rFont val="Calibri"/>
        <family val="2"/>
        <scheme val="minor"/>
      </rPr>
      <t>= N</t>
    </r>
    <r>
      <rPr>
        <vertAlign val="subscript"/>
        <sz val="13"/>
        <color indexed="8"/>
        <rFont val="Calibri"/>
        <family val="2"/>
        <scheme val="minor"/>
      </rPr>
      <t>equiv(t)</t>
    </r>
    <r>
      <rPr>
        <sz val="13"/>
        <color indexed="8"/>
        <rFont val="Calibri"/>
        <family val="2"/>
        <scheme val="minor"/>
      </rPr>
      <t>+N</t>
    </r>
    <r>
      <rPr>
        <vertAlign val="subscript"/>
        <sz val="13"/>
        <color indexed="8"/>
        <rFont val="Calibri"/>
        <family val="2"/>
        <scheme val="minor"/>
      </rPr>
      <t>equiv(p)</t>
    </r>
    <r>
      <rPr>
        <sz val="13"/>
        <color indexed="8"/>
        <rFont val="Calibri"/>
        <family val="2"/>
        <scheme val="minor"/>
      </rPr>
      <t xml:space="preserve"> =</t>
    </r>
  </si>
  <si>
    <r>
      <t>S</t>
    </r>
    <r>
      <rPr>
        <vertAlign val="subscript"/>
        <sz val="13"/>
        <rFont val="Calibri"/>
        <family val="2"/>
        <scheme val="minor"/>
      </rPr>
      <t>f_min</t>
    </r>
    <r>
      <rPr>
        <sz val="13"/>
        <rFont val="Calibri"/>
        <family val="2"/>
        <scheme val="minor"/>
      </rPr>
      <t>=10^(2.6834-(LOG10(695.85*10^6*N</t>
    </r>
    <r>
      <rPr>
        <vertAlign val="subscript"/>
        <sz val="13"/>
        <rFont val="Calibri"/>
        <family val="2"/>
        <scheme val="minor"/>
      </rPr>
      <t>equiv</t>
    </r>
    <r>
      <rPr>
        <sz val="13"/>
        <rFont val="Calibri"/>
        <family val="2"/>
        <scheme val="minor"/>
      </rPr>
      <t>/ (D</t>
    </r>
    <r>
      <rPr>
        <vertAlign val="subscript"/>
        <sz val="13"/>
        <rFont val="Calibri"/>
        <family val="2"/>
        <scheme val="minor"/>
      </rPr>
      <t>t</t>
    </r>
    <r>
      <rPr>
        <sz val="13"/>
        <rFont val="Calibri"/>
        <family val="2"/>
        <scheme val="minor"/>
      </rPr>
      <t>/d</t>
    </r>
    <r>
      <rPr>
        <vertAlign val="subscript"/>
        <sz val="13"/>
        <rFont val="Calibri"/>
        <family val="2"/>
        <scheme val="minor"/>
      </rPr>
      <t>r</t>
    </r>
    <r>
      <rPr>
        <sz val="13"/>
        <rFont val="Calibri"/>
        <family val="2"/>
        <scheme val="minor"/>
      </rPr>
      <t>)^8.567))/(LOG10(77.09*D</t>
    </r>
    <r>
      <rPr>
        <vertAlign val="subscript"/>
        <sz val="13"/>
        <rFont val="Calibri"/>
        <family val="2"/>
        <scheme val="minor"/>
      </rPr>
      <t>t</t>
    </r>
    <r>
      <rPr>
        <sz val="13"/>
        <rFont val="Calibri"/>
        <family val="2"/>
        <scheme val="minor"/>
      </rPr>
      <t>/d</t>
    </r>
    <r>
      <rPr>
        <vertAlign val="subscript"/>
        <sz val="13"/>
        <rFont val="Calibri"/>
        <family val="2"/>
        <scheme val="minor"/>
      </rPr>
      <t>r</t>
    </r>
    <r>
      <rPr>
        <sz val="13"/>
        <rFont val="Calibri"/>
        <family val="2"/>
        <scheme val="minor"/>
      </rPr>
      <t>)^(-2.895))) =</t>
    </r>
  </si>
  <si>
    <t>ظرفیت بار نامی</t>
  </si>
  <si>
    <r>
      <rPr>
        <sz val="13"/>
        <rFont val="Tahoma"/>
        <family val="2"/>
      </rPr>
      <t xml:space="preserve"> (از جدول)</t>
    </r>
    <r>
      <rPr>
        <sz val="13"/>
        <rFont val="Calibri"/>
        <family val="2"/>
        <scheme val="minor"/>
      </rPr>
      <t xml:space="preserve"> ω =</t>
    </r>
  </si>
  <si>
    <r>
      <t>N/mm</t>
    </r>
    <r>
      <rPr>
        <vertAlign val="superscript"/>
        <sz val="12"/>
        <rFont val="Tahoma"/>
        <family val="2"/>
      </rPr>
      <t>2</t>
    </r>
  </si>
  <si>
    <r>
      <t>m/s</t>
    </r>
    <r>
      <rPr>
        <vertAlign val="superscript"/>
        <sz val="12"/>
        <rFont val="Tahoma"/>
        <family val="2"/>
      </rPr>
      <t>2</t>
    </r>
  </si>
  <si>
    <r>
      <t>mm</t>
    </r>
    <r>
      <rPr>
        <vertAlign val="superscript"/>
        <sz val="12"/>
        <rFont val="Tahoma"/>
        <family val="2"/>
      </rPr>
      <t>2</t>
    </r>
  </si>
  <si>
    <r>
      <t>mm</t>
    </r>
    <r>
      <rPr>
        <vertAlign val="superscript"/>
        <sz val="12"/>
        <rFont val="Tahoma"/>
        <family val="2"/>
      </rPr>
      <t>4</t>
    </r>
  </si>
  <si>
    <r>
      <t>mm</t>
    </r>
    <r>
      <rPr>
        <vertAlign val="superscript"/>
        <sz val="12"/>
        <rFont val="Tahoma"/>
        <family val="2"/>
      </rPr>
      <t>3</t>
    </r>
  </si>
  <si>
    <t>Lift Type =</t>
  </si>
  <si>
    <t>Persons =</t>
  </si>
  <si>
    <t>Stops =</t>
  </si>
  <si>
    <t>نیروی وارد بر هر سیم بکسل</t>
  </si>
  <si>
    <t>تعداد فلکه‌های با خم معکوس</t>
  </si>
  <si>
    <r>
      <t>T</t>
    </r>
    <r>
      <rPr>
        <vertAlign val="subscript"/>
        <sz val="12"/>
        <rFont val="Tahoma"/>
        <family val="2"/>
      </rPr>
      <t>1</t>
    </r>
  </si>
  <si>
    <r>
      <t>T</t>
    </r>
    <r>
      <rPr>
        <vertAlign val="subscript"/>
        <sz val="12"/>
        <rFont val="Tahoma"/>
        <family val="2"/>
      </rPr>
      <t>2</t>
    </r>
  </si>
  <si>
    <r>
      <t>m</t>
    </r>
    <r>
      <rPr>
        <vertAlign val="subscript"/>
        <sz val="13"/>
        <rFont val="Calibri"/>
        <family val="2"/>
        <scheme val="minor"/>
      </rPr>
      <t xml:space="preserve">PTD </t>
    </r>
    <r>
      <rPr>
        <sz val="13"/>
        <rFont val="Calibri"/>
        <family val="2"/>
        <scheme val="minor"/>
      </rPr>
      <t>= J</t>
    </r>
    <r>
      <rPr>
        <vertAlign val="subscript"/>
        <sz val="13"/>
        <rFont val="Calibri"/>
        <family val="2"/>
        <scheme val="minor"/>
      </rPr>
      <t>PTD</t>
    </r>
    <r>
      <rPr>
        <sz val="13"/>
        <rFont val="Calibri"/>
        <family val="2"/>
        <scheme val="minor"/>
      </rPr>
      <t>/R</t>
    </r>
    <r>
      <rPr>
        <vertAlign val="superscript"/>
        <sz val="13"/>
        <rFont val="Calibri"/>
        <family val="2"/>
        <scheme val="minor"/>
      </rPr>
      <t>2</t>
    </r>
    <r>
      <rPr>
        <sz val="13"/>
        <rFont val="Calibri"/>
        <family val="2"/>
        <scheme val="minor"/>
      </rPr>
      <t xml:space="preserve"> =</t>
    </r>
  </si>
  <si>
    <r>
      <t>N</t>
    </r>
    <r>
      <rPr>
        <b/>
        <vertAlign val="subscript"/>
        <sz val="14"/>
        <rFont val="Calibri"/>
        <family val="2"/>
        <scheme val="minor"/>
      </rPr>
      <t>equiv(t)</t>
    </r>
  </si>
  <si>
    <t>U- Undercut grooves</t>
  </si>
  <si>
    <t>U- Undercut groove</t>
  </si>
  <si>
    <t>V- grooves</t>
  </si>
  <si>
    <r>
      <t>U- angle (</t>
    </r>
    <r>
      <rPr>
        <b/>
        <i/>
        <sz val="12"/>
        <color indexed="8"/>
        <rFont val="Arial"/>
        <family val="2"/>
      </rPr>
      <t>β</t>
    </r>
    <r>
      <rPr>
        <b/>
        <sz val="12"/>
        <color indexed="8"/>
        <rFont val="Arial"/>
        <family val="2"/>
      </rPr>
      <t>)</t>
    </r>
  </si>
  <si>
    <r>
      <t>V- angle (</t>
    </r>
    <r>
      <rPr>
        <b/>
        <sz val="12"/>
        <color indexed="8"/>
        <rFont val="Times New Roman"/>
        <family val="1"/>
        <charset val="204"/>
      </rPr>
      <t>γ</t>
    </r>
    <r>
      <rPr>
        <b/>
        <sz val="12"/>
        <color indexed="8"/>
        <rFont val="Arial"/>
        <family val="1"/>
        <charset val="204"/>
      </rPr>
      <t>)</t>
    </r>
  </si>
  <si>
    <t>V- angle (γ)</t>
  </si>
  <si>
    <r>
      <t>U- angle (</t>
    </r>
    <r>
      <rPr>
        <b/>
        <i/>
        <sz val="13"/>
        <color indexed="8"/>
        <rFont val="Arial"/>
        <family val="2"/>
      </rPr>
      <t>β</t>
    </r>
    <r>
      <rPr>
        <b/>
        <sz val="13"/>
        <color indexed="8"/>
        <rFont val="Arial"/>
        <family val="2"/>
      </rPr>
      <t>)</t>
    </r>
  </si>
  <si>
    <t>PAWO F7</t>
  </si>
  <si>
    <t>سازنده</t>
  </si>
  <si>
    <t>8x19 وارینگتون با مغز نیمه فولادی</t>
  </si>
  <si>
    <t>مدل</t>
  </si>
  <si>
    <t>Rope Dia</t>
  </si>
  <si>
    <t>G-Wolf F819 S-FE</t>
  </si>
  <si>
    <t>G-Wolf F819 W-FE</t>
  </si>
  <si>
    <t>G-Wolf PAWO F3</t>
  </si>
  <si>
    <t>G-Wolf PAWO F7</t>
  </si>
  <si>
    <t>G-Wolf PAWO F7 S</t>
  </si>
  <si>
    <t>وارینگتون با مغز نیمه فولادی</t>
  </si>
  <si>
    <t>وارینگتون با مغز فولادی</t>
  </si>
  <si>
    <t>ساختار</t>
  </si>
  <si>
    <t>سیل با مغز نیمه فولادی</t>
  </si>
  <si>
    <t>DRAKO 8x19 W- FC</t>
  </si>
  <si>
    <t>Minimum breaking strength</t>
  </si>
  <si>
    <t>DRAKO 210 TF</t>
  </si>
  <si>
    <t>DRAKO 250 T</t>
  </si>
  <si>
    <t>فایفر دراکو</t>
  </si>
  <si>
    <t>8x19S-NFC</t>
  </si>
  <si>
    <t>8x19S-PWRC</t>
  </si>
  <si>
    <t>8x19S- PWRC 1370/1770</t>
  </si>
  <si>
    <t>8x19 سیل با مغز فولادی</t>
  </si>
  <si>
    <t>DRAKO 8x19 S- FC</t>
  </si>
  <si>
    <t>انواع دیگر</t>
  </si>
  <si>
    <t>Safety gear Type =</t>
  </si>
  <si>
    <t>گوستاو ولف</t>
  </si>
  <si>
    <r>
      <t>η</t>
    </r>
    <r>
      <rPr>
        <vertAlign val="subscript"/>
        <sz val="14"/>
        <rFont val="Calibri"/>
        <family val="2"/>
        <scheme val="minor"/>
      </rPr>
      <t>S</t>
    </r>
    <r>
      <rPr>
        <sz val="14"/>
        <rFont val="Calibri"/>
        <family val="2"/>
        <scheme val="minor"/>
      </rPr>
      <t xml:space="preserve"> =</t>
    </r>
  </si>
  <si>
    <t>نوع کفشک های راهنما</t>
  </si>
  <si>
    <t>Guide Shoe Type =</t>
  </si>
  <si>
    <t>لغزشی بی روغن</t>
  </si>
  <si>
    <t>لغزشی با روغن</t>
  </si>
  <si>
    <t>غلطکی</t>
  </si>
  <si>
    <t>نوع کفشک</t>
  </si>
  <si>
    <t>Sliding</t>
  </si>
  <si>
    <t>Sliding with oil</t>
  </si>
  <si>
    <t>Roller</t>
  </si>
  <si>
    <t>Guide shoe Type</t>
  </si>
  <si>
    <t>جدول راندمان چاه بر اساس نوع کفشک</t>
  </si>
  <si>
    <t>“Omega”-value ω related to λ for steel with tensile stress of 370 N/mm2</t>
  </si>
  <si>
    <t>“Omega”-value ω related to λ for steel with tensile stress of 520 N/mm2</t>
  </si>
  <si>
    <t>λ</t>
  </si>
  <si>
    <t>در پایین ترین طبقه</t>
  </si>
  <si>
    <t>y2 =</t>
  </si>
  <si>
    <r>
      <t>M</t>
    </r>
    <r>
      <rPr>
        <vertAlign val="subscript"/>
        <sz val="13"/>
        <rFont val="Calibri"/>
        <family val="2"/>
        <scheme val="minor"/>
      </rPr>
      <t>Trav</t>
    </r>
    <r>
      <rPr>
        <sz val="13"/>
        <rFont val="Calibri"/>
        <family val="2"/>
        <scheme val="minor"/>
      </rPr>
      <t xml:space="preserve"> =</t>
    </r>
  </si>
  <si>
    <r>
      <t>m</t>
    </r>
    <r>
      <rPr>
        <vertAlign val="subscript"/>
        <sz val="13"/>
        <rFont val="Calibri"/>
        <family val="2"/>
        <scheme val="minor"/>
      </rPr>
      <t>SR</t>
    </r>
    <r>
      <rPr>
        <sz val="13"/>
        <rFont val="Calibri"/>
        <family val="2"/>
        <scheme val="minor"/>
      </rPr>
      <t xml:space="preserve"> =</t>
    </r>
  </si>
  <si>
    <r>
      <t>m</t>
    </r>
    <r>
      <rPr>
        <vertAlign val="subscript"/>
        <sz val="13"/>
        <rFont val="Calibri"/>
        <family val="2"/>
        <scheme val="minor"/>
      </rPr>
      <t>CR</t>
    </r>
    <r>
      <rPr>
        <sz val="13"/>
        <rFont val="Calibri"/>
        <family val="2"/>
        <scheme val="minor"/>
      </rPr>
      <t xml:space="preserve"> =</t>
    </r>
  </si>
  <si>
    <t>در بالا ترین طبقه</t>
  </si>
  <si>
    <t>حالت دوم: توقف اضطراری کابین بدون بار (خالی)</t>
  </si>
  <si>
    <t>y1 =</t>
  </si>
  <si>
    <t>حالت سوم: توقف اضطراری کابین با 100% بار نامی</t>
  </si>
  <si>
    <r>
      <t>Q</t>
    </r>
    <r>
      <rPr>
        <vertAlign val="subscript"/>
        <sz val="13"/>
        <rFont val="Calibri"/>
        <family val="2"/>
        <scheme val="minor"/>
      </rPr>
      <t>3</t>
    </r>
    <r>
      <rPr>
        <sz val="13"/>
        <rFont val="Calibri"/>
        <family val="2"/>
        <scheme val="minor"/>
      </rPr>
      <t xml:space="preserve"> =1*Q =</t>
    </r>
  </si>
  <si>
    <t>حداکثر بار استاتیکی مجاز روی شافت موتور</t>
  </si>
  <si>
    <t>سانترال 2 لنگه</t>
  </si>
  <si>
    <t>نشستن وزنه روی بافر، کابین بدون بار در بالا ترین طبقه</t>
  </si>
  <si>
    <t>نشستن کابین روی بافر، وزنه در بالا</t>
  </si>
  <si>
    <t>جرم کاهش یافته (تقریبی) فلکه ها بر اساس  تعداد شیار و قطر فلکه به کیلوگرم</t>
  </si>
  <si>
    <t>سرعت سیم بکسل</t>
  </si>
  <si>
    <r>
      <t>V</t>
    </r>
    <r>
      <rPr>
        <vertAlign val="subscript"/>
        <sz val="13"/>
        <rFont val="Calibri"/>
        <family val="2"/>
        <scheme val="minor"/>
      </rPr>
      <t>sr</t>
    </r>
    <r>
      <rPr>
        <sz val="13"/>
        <rFont val="Calibri"/>
        <family val="2"/>
        <scheme val="minor"/>
      </rPr>
      <t xml:space="preserve"> =</t>
    </r>
  </si>
  <si>
    <t>تعداد توقف (ایستگاه)</t>
  </si>
  <si>
    <t>ورودی ها</t>
  </si>
  <si>
    <t>پروژه</t>
  </si>
  <si>
    <t>تعداد پیچش طناب ها روی فلکه کششی</t>
  </si>
  <si>
    <t>جرم کابین خالی و اجزای متصل به آن</t>
  </si>
  <si>
    <t>نیرو در ریل دراثر بار تجهیزات جانبی</t>
  </si>
  <si>
    <t>فاصله مرکز کابین تا ریل کابین در جهت Y</t>
  </si>
  <si>
    <t>فاصله مرکز کابین تا ریل کابین در جهت X</t>
  </si>
  <si>
    <t>فاصله مرکز جرم کاببن تا ریل کابین در جهت X</t>
  </si>
  <si>
    <t>فاصله مرکز آویز تا ریل کابین در جهت X</t>
  </si>
  <si>
    <t>فاصله مرکز جرم کابین تا ریل کابین در جهت Y</t>
  </si>
  <si>
    <t>فاصله مرکز آویز تا ریل کابین در جهت Y</t>
  </si>
  <si>
    <t>فاصله مرکز در کابین تا ریل کابین در جهت X</t>
  </si>
  <si>
    <t>فاصله مرکز در کابین تا ریل کابین در جهت Y</t>
  </si>
  <si>
    <t>Guide Shoe =</t>
  </si>
  <si>
    <t>Safety gear =</t>
  </si>
  <si>
    <t>دور</t>
  </si>
  <si>
    <t>فلکه‌های هرزگرد</t>
  </si>
  <si>
    <t>سیم بکسل، کابل متحرک و زنجیر جبران</t>
  </si>
  <si>
    <t>8x19 W- IWRC 1570</t>
  </si>
  <si>
    <t xml:space="preserve">گوستاو ولف </t>
  </si>
  <si>
    <t>Gustav Wolf</t>
  </si>
  <si>
    <t>PFEIFER DRAKO</t>
  </si>
  <si>
    <t>F819 S-FC</t>
  </si>
  <si>
    <t>F819 W-FC</t>
  </si>
  <si>
    <t>8x19 S - NFC 1570</t>
  </si>
  <si>
    <t>8x19 W - NFC 1570</t>
  </si>
  <si>
    <t>8x19 S - IWRC 1570</t>
  </si>
  <si>
    <t>8x19 W - IWRC 1570</t>
  </si>
  <si>
    <t>ردیف</t>
  </si>
  <si>
    <t>راهنمایی: در صورتیکه ریل مورد نظر در این جدول وجود ندارد میتوان با وارد کردن مشخصات ریل خاص مورد نظر در ردیف آخر (13)، در ورودی ها از آن استفاده نمود. در اینصورت ارایه مدارک مربوطه الزامی است.</t>
  </si>
  <si>
    <r>
      <t>مجموع جرم کاهش‌یافته فلکه(های) متصل به کابین</t>
    </r>
    <r>
      <rPr>
        <sz val="12"/>
        <rFont val="Times New Roman"/>
        <family val="1"/>
      </rPr>
      <t/>
    </r>
  </si>
  <si>
    <t>مجموع جرم کاهش‌یافته فلکه(های) روی وزنه تعادلی</t>
  </si>
  <si>
    <t xml:space="preserve">جرم کاهش‌یافته فلکه(های) کشش طناب جبران </t>
  </si>
  <si>
    <r>
      <t>m</t>
    </r>
    <r>
      <rPr>
        <vertAlign val="subscript"/>
        <sz val="13"/>
        <rFont val="Calibri"/>
        <family val="2"/>
        <scheme val="minor"/>
      </rPr>
      <t xml:space="preserve">Pcwt </t>
    </r>
    <r>
      <rPr>
        <sz val="13"/>
        <rFont val="Calibri"/>
        <family val="2"/>
        <scheme val="minor"/>
      </rPr>
      <t>*i</t>
    </r>
    <r>
      <rPr>
        <vertAlign val="subscript"/>
        <sz val="13"/>
        <rFont val="Calibri"/>
        <family val="2"/>
        <scheme val="minor"/>
      </rPr>
      <t>Pcwt</t>
    </r>
    <r>
      <rPr>
        <sz val="13"/>
        <rFont val="Calibri"/>
        <family val="2"/>
        <scheme val="minor"/>
      </rPr>
      <t>= (J</t>
    </r>
    <r>
      <rPr>
        <vertAlign val="subscript"/>
        <sz val="13"/>
        <rFont val="Calibri"/>
        <family val="2"/>
        <scheme val="minor"/>
      </rPr>
      <t>Pcwt</t>
    </r>
    <r>
      <rPr>
        <sz val="13"/>
        <rFont val="Calibri"/>
        <family val="2"/>
        <scheme val="minor"/>
      </rPr>
      <t>/R</t>
    </r>
    <r>
      <rPr>
        <vertAlign val="superscript"/>
        <sz val="13"/>
        <rFont val="Calibri"/>
        <family val="2"/>
        <scheme val="minor"/>
      </rPr>
      <t>2</t>
    </r>
    <r>
      <rPr>
        <sz val="13"/>
        <rFont val="Calibri"/>
        <family val="2"/>
        <scheme val="minor"/>
      </rPr>
      <t>) *i</t>
    </r>
    <r>
      <rPr>
        <vertAlign val="subscript"/>
        <sz val="13"/>
        <rFont val="Calibri"/>
        <family val="2"/>
        <scheme val="minor"/>
      </rPr>
      <t>Pcwt</t>
    </r>
    <r>
      <rPr>
        <sz val="13"/>
        <rFont val="Calibri"/>
        <family val="2"/>
        <scheme val="minor"/>
      </rPr>
      <t>=</t>
    </r>
  </si>
  <si>
    <r>
      <t>m</t>
    </r>
    <r>
      <rPr>
        <vertAlign val="subscript"/>
        <sz val="13"/>
        <rFont val="Calibri"/>
        <family val="2"/>
        <scheme val="minor"/>
      </rPr>
      <t>Pcar</t>
    </r>
    <r>
      <rPr>
        <sz val="13"/>
        <rFont val="Calibri"/>
        <family val="2"/>
        <scheme val="minor"/>
      </rPr>
      <t>*i</t>
    </r>
    <r>
      <rPr>
        <vertAlign val="subscript"/>
        <sz val="13"/>
        <rFont val="Calibri"/>
        <family val="2"/>
        <scheme val="minor"/>
      </rPr>
      <t xml:space="preserve">Pcar </t>
    </r>
    <r>
      <rPr>
        <sz val="13"/>
        <rFont val="Calibri"/>
        <family val="2"/>
        <scheme val="minor"/>
      </rPr>
      <t>= (J</t>
    </r>
    <r>
      <rPr>
        <vertAlign val="subscript"/>
        <sz val="13"/>
        <rFont val="Calibri"/>
        <family val="2"/>
        <scheme val="minor"/>
      </rPr>
      <t>Pcar</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Pcar</t>
    </r>
    <r>
      <rPr>
        <sz val="13"/>
        <rFont val="Calibri"/>
        <family val="2"/>
        <scheme val="minor"/>
      </rPr>
      <t xml:space="preserve"> =</t>
    </r>
  </si>
  <si>
    <t xml:space="preserve">جمع مساحت مفید داخل کابین </t>
  </si>
  <si>
    <t>فاصله مرکز کابین از ریل راهنما در جهت X</t>
  </si>
  <si>
    <t>فاصله مرکز کابین از ریل راهنما در جهت Y</t>
  </si>
  <si>
    <t>فاصله مرکز جرم کاببن از ریل راهنما در جهت X</t>
  </si>
  <si>
    <t>فاصله مرکز جرم کابین از ریل راهنما در جهت Y</t>
  </si>
  <si>
    <t>فاصله مرکز آویز از ریل راهنما در جهت X</t>
  </si>
  <si>
    <t>فاصله مرکزآویز از ریل راهنما در جهت Y</t>
  </si>
  <si>
    <t>فاصله در کابین از ریل راهنما در جهت X</t>
  </si>
  <si>
    <t>فاصله در کابین از ریل راهنما در جهت Y</t>
  </si>
  <si>
    <t>Motor =</t>
  </si>
  <si>
    <t>تعداد پیچش طناب ها روی فلکه کشش</t>
  </si>
  <si>
    <t>زاویه پیچش طنابها روی فلکه کشش</t>
  </si>
  <si>
    <r>
      <t>M</t>
    </r>
    <r>
      <rPr>
        <vertAlign val="subscript"/>
        <sz val="12"/>
        <rFont val="Calibri"/>
        <family val="2"/>
        <scheme val="minor"/>
      </rPr>
      <t>Comp</t>
    </r>
    <r>
      <rPr>
        <sz val="12"/>
        <rFont val="Calibri"/>
        <family val="2"/>
        <scheme val="minor"/>
      </rPr>
      <t xml:space="preserve"> =</t>
    </r>
  </si>
  <si>
    <t>جرم واحد طول طناب/ زنجیر جبران</t>
  </si>
  <si>
    <t>جرم واحد طول سیم بکسل</t>
  </si>
  <si>
    <t>حداقل بار گسیختگی سیم بکسل</t>
  </si>
  <si>
    <t>عدد معادل فلکه‌ی کششی</t>
  </si>
  <si>
    <t>عرض اتصال دهنده بال به تیغه ریل</t>
  </si>
  <si>
    <t>وزن قابل تحمل توسط قلاب سقف</t>
  </si>
  <si>
    <t>قطر فلکه (mm)</t>
  </si>
  <si>
    <r>
      <t>F</t>
    </r>
    <r>
      <rPr>
        <vertAlign val="subscript"/>
        <sz val="14"/>
        <rFont val="Calibri"/>
        <family val="2"/>
        <scheme val="minor"/>
      </rPr>
      <t>3</t>
    </r>
    <r>
      <rPr>
        <sz val="14"/>
        <rFont val="Calibri"/>
        <family val="2"/>
        <scheme val="minor"/>
      </rPr>
      <t xml:space="preserve"> = ((P+Q+M</t>
    </r>
    <r>
      <rPr>
        <vertAlign val="subscript"/>
        <sz val="14"/>
        <rFont val="Calibri"/>
        <family val="2"/>
        <scheme val="minor"/>
      </rPr>
      <t>Cwt</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comp</t>
    </r>
    <r>
      <rPr>
        <sz val="14"/>
        <rFont val="Calibri"/>
        <family val="2"/>
        <scheme val="minor"/>
      </rPr>
      <t>+r.M</t>
    </r>
    <r>
      <rPr>
        <vertAlign val="subscript"/>
        <sz val="14"/>
        <rFont val="Calibri"/>
        <family val="2"/>
        <scheme val="minor"/>
      </rPr>
      <t>SR</t>
    </r>
    <r>
      <rPr>
        <sz val="14"/>
        <rFont val="Calibri"/>
        <family val="2"/>
        <scheme val="minor"/>
      </rPr>
      <t>)*K2+M</t>
    </r>
    <r>
      <rPr>
        <vertAlign val="subscript"/>
        <sz val="14"/>
        <rFont val="Calibri"/>
        <family val="2"/>
        <scheme val="minor"/>
      </rPr>
      <t>gb</t>
    </r>
    <r>
      <rPr>
        <sz val="14"/>
        <rFont val="Calibri"/>
        <family val="2"/>
        <scheme val="minor"/>
      </rPr>
      <t>).g</t>
    </r>
    <r>
      <rPr>
        <vertAlign val="subscript"/>
        <sz val="14"/>
        <rFont val="Calibri"/>
        <family val="2"/>
        <scheme val="minor"/>
      </rPr>
      <t>n</t>
    </r>
    <r>
      <rPr>
        <sz val="14"/>
        <rFont val="Calibri"/>
        <family val="2"/>
        <scheme val="minor"/>
      </rPr>
      <t xml:space="preserve"> =</t>
    </r>
  </si>
  <si>
    <r>
      <t>C</t>
    </r>
    <r>
      <rPr>
        <vertAlign val="subscript"/>
        <sz val="13"/>
        <rFont val="Calibri"/>
        <family val="2"/>
        <scheme val="minor"/>
      </rPr>
      <t>Smax</t>
    </r>
    <r>
      <rPr>
        <sz val="13"/>
        <rFont val="Calibri"/>
        <family val="2"/>
        <scheme val="minor"/>
      </rPr>
      <t xml:space="preserve"> =</t>
    </r>
  </si>
  <si>
    <t xml:space="preserve">عدد معادل فلکه‌ی کششی </t>
  </si>
  <si>
    <t>Sf_cur =</t>
  </si>
  <si>
    <t>جرم کاهش‌یافته فلکه(های) فاصله انداز (سمت کابین)</t>
  </si>
  <si>
    <r>
      <t>m</t>
    </r>
    <r>
      <rPr>
        <vertAlign val="subscript"/>
        <sz val="13"/>
        <rFont val="Calibri"/>
        <family val="2"/>
        <scheme val="minor"/>
      </rPr>
      <t xml:space="preserve">DPcar </t>
    </r>
    <r>
      <rPr>
        <sz val="13"/>
        <rFont val="Calibri"/>
        <family val="2"/>
        <scheme val="minor"/>
      </rPr>
      <t>= (J</t>
    </r>
    <r>
      <rPr>
        <vertAlign val="subscript"/>
        <sz val="13"/>
        <rFont val="Calibri"/>
        <family val="2"/>
        <scheme val="minor"/>
      </rPr>
      <t>DP</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DPcar</t>
    </r>
    <r>
      <rPr>
        <sz val="13"/>
        <rFont val="Calibri"/>
        <family val="2"/>
        <scheme val="minor"/>
      </rPr>
      <t xml:space="preserve"> =</t>
    </r>
  </si>
  <si>
    <r>
      <t>m</t>
    </r>
    <r>
      <rPr>
        <vertAlign val="subscript"/>
        <sz val="13"/>
        <rFont val="Calibri"/>
        <family val="2"/>
        <scheme val="minor"/>
      </rPr>
      <t xml:space="preserve">DPcwt </t>
    </r>
    <r>
      <rPr>
        <sz val="13"/>
        <rFont val="Calibri"/>
        <family val="2"/>
        <scheme val="minor"/>
      </rPr>
      <t>= (J</t>
    </r>
    <r>
      <rPr>
        <vertAlign val="subscript"/>
        <sz val="13"/>
        <rFont val="Calibri"/>
        <family val="2"/>
        <scheme val="minor"/>
      </rPr>
      <t>DP</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DPcwt</t>
    </r>
    <r>
      <rPr>
        <sz val="13"/>
        <rFont val="Calibri"/>
        <family val="2"/>
        <scheme val="minor"/>
      </rPr>
      <t xml:space="preserve"> =</t>
    </r>
  </si>
  <si>
    <t>جرم کاهش‌یافته فلکه(های) فاصله انداز (سمت طبقه)</t>
  </si>
  <si>
    <t xml:space="preserve">تعداد طناب/ زنجیر جبران </t>
  </si>
  <si>
    <t>عرض بازشو در کابین</t>
  </si>
  <si>
    <t>حالت سوم: استفاده عادی، در حال بارگیری</t>
  </si>
  <si>
    <t>سانترال 4 لنگه</t>
  </si>
  <si>
    <t>تلسکوپی 2 لنگه</t>
  </si>
  <si>
    <t>سانترال 6 لنگه</t>
  </si>
  <si>
    <t>تلسکوپی 3 لنگه</t>
  </si>
  <si>
    <t>اتوبوسی</t>
  </si>
  <si>
    <t>سانترال 8 لنگه</t>
  </si>
  <si>
    <t>Factor</t>
  </si>
  <si>
    <t>leaf</t>
  </si>
  <si>
    <t>Rate</t>
  </si>
  <si>
    <t>شماره درب</t>
  </si>
  <si>
    <t>درب 1</t>
  </si>
  <si>
    <t>درب 2</t>
  </si>
  <si>
    <t>درب 3</t>
  </si>
  <si>
    <t>ِDoor_Width</t>
  </si>
  <si>
    <t>درب 4</t>
  </si>
  <si>
    <t>A1</t>
  </si>
  <si>
    <t>A2</t>
  </si>
  <si>
    <r>
      <t>m</t>
    </r>
    <r>
      <rPr>
        <vertAlign val="superscript"/>
        <sz val="10"/>
        <color theme="1"/>
        <rFont val="Tahoma"/>
        <family val="2"/>
      </rPr>
      <t>2</t>
    </r>
  </si>
  <si>
    <t>Sum</t>
  </si>
  <si>
    <r>
      <t>A</t>
    </r>
    <r>
      <rPr>
        <vertAlign val="subscript"/>
        <sz val="14"/>
        <rFont val="Calibri"/>
        <family val="2"/>
        <scheme val="minor"/>
      </rPr>
      <t>1</t>
    </r>
    <r>
      <rPr>
        <sz val="14"/>
        <rFont val="Calibri"/>
        <family val="2"/>
        <scheme val="minor"/>
      </rPr>
      <t xml:space="preserve"> =</t>
    </r>
  </si>
  <si>
    <r>
      <t>A</t>
    </r>
    <r>
      <rPr>
        <vertAlign val="subscript"/>
        <sz val="14"/>
        <rFont val="Calibri"/>
        <family val="2"/>
        <scheme val="minor"/>
      </rPr>
      <t>2</t>
    </r>
    <r>
      <rPr>
        <sz val="14"/>
        <rFont val="Calibri"/>
        <family val="2"/>
        <scheme val="minor"/>
      </rPr>
      <t xml:space="preserve"> =</t>
    </r>
  </si>
  <si>
    <t>موجود؟</t>
  </si>
  <si>
    <r>
      <t>A</t>
    </r>
    <r>
      <rPr>
        <b/>
        <vertAlign val="subscript"/>
        <sz val="10"/>
        <color theme="1"/>
        <rFont val="Tahoma"/>
        <family val="2"/>
      </rPr>
      <t>min</t>
    </r>
  </si>
  <si>
    <r>
      <t>A</t>
    </r>
    <r>
      <rPr>
        <b/>
        <vertAlign val="subscript"/>
        <sz val="10"/>
        <color theme="1"/>
        <rFont val="Tahoma"/>
        <family val="2"/>
      </rPr>
      <t>Total</t>
    </r>
  </si>
  <si>
    <r>
      <t>A</t>
    </r>
    <r>
      <rPr>
        <b/>
        <vertAlign val="subscript"/>
        <sz val="10"/>
        <color theme="1"/>
        <rFont val="Tahoma"/>
        <family val="2"/>
      </rPr>
      <t>max</t>
    </r>
  </si>
  <si>
    <t>آدرس و مشخصات پروژه</t>
  </si>
  <si>
    <t>شناسه ملی آسانسور</t>
  </si>
  <si>
    <t>پرشین نگین اطلس</t>
  </si>
  <si>
    <t xml:space="preserve"> اراک </t>
  </si>
  <si>
    <t>1394/07/14</t>
  </si>
  <si>
    <t>1397/07/14</t>
  </si>
  <si>
    <t>دیدبان سنجش امیرکبیر</t>
  </si>
  <si>
    <t xml:space="preserve">اراک </t>
  </si>
  <si>
    <t/>
  </si>
  <si>
    <t>1399/10/03</t>
  </si>
  <si>
    <t>آریا فولاد قرن</t>
  </si>
  <si>
    <t>اهواز</t>
  </si>
  <si>
    <t>آساره پرداز پاسارگاد</t>
  </si>
  <si>
    <t>بروجرد</t>
  </si>
  <si>
    <t>شاخه زیتون لیان</t>
  </si>
  <si>
    <t>بوشهر</t>
  </si>
  <si>
    <t>پویا پرتو تبریز</t>
  </si>
  <si>
    <t>تبریز</t>
  </si>
  <si>
    <t>آذرستاویز</t>
  </si>
  <si>
    <t>بهینه سازان اعتماد صنعت ایرانیان</t>
  </si>
  <si>
    <t>معیار صنعت تبریز</t>
  </si>
  <si>
    <t>1394/09/07</t>
  </si>
  <si>
    <t>1397/09/07</t>
  </si>
  <si>
    <t>بازرسی مهندسی آراد پایا کیفیت آریا</t>
  </si>
  <si>
    <t>سورینا صنعت فردا</t>
  </si>
  <si>
    <t xml:space="preserve">تبریز </t>
  </si>
  <si>
    <t>1396/10/10</t>
  </si>
  <si>
    <t>1399/10/10</t>
  </si>
  <si>
    <t>نوآوران کیفیت پارس</t>
  </si>
  <si>
    <t>تهران</t>
  </si>
  <si>
    <t>1399/07/24</t>
  </si>
  <si>
    <t>کیان رایان کیفیت گستر</t>
  </si>
  <si>
    <t>1396/09/12</t>
  </si>
  <si>
    <t>1399/09/12</t>
  </si>
  <si>
    <t>بازرسی فنی و کنترل خوردگی تکین کو</t>
  </si>
  <si>
    <t>بازرسی مهندسی ایران IEI</t>
  </si>
  <si>
    <t>اینترتک قشم</t>
  </si>
  <si>
    <t>(تصویر گواهینامه)</t>
  </si>
  <si>
    <t>ارتقا گستر پویا</t>
  </si>
  <si>
    <t>بازرسی کالای تجاری IGI</t>
  </si>
  <si>
    <t>1395/08/24</t>
  </si>
  <si>
    <t>1398/08/24</t>
  </si>
  <si>
    <t>بازرسی کیفیت و استاندارد ایران (ISQI)</t>
  </si>
  <si>
    <t>روشاک پایا کنترل</t>
  </si>
  <si>
    <t>بازرسی فنی بین المللی بازآفرینان صنعت جنوب</t>
  </si>
  <si>
    <t>کاوش اندیشه رستگار</t>
  </si>
  <si>
    <t>معیار گستر صدر</t>
  </si>
  <si>
    <t>1394/08/26</t>
  </si>
  <si>
    <t>1397/08/26</t>
  </si>
  <si>
    <t>مهندسی اندیشه</t>
  </si>
  <si>
    <t xml:space="preserve">تهران </t>
  </si>
  <si>
    <t>1393/11/27</t>
  </si>
  <si>
    <t>1399/12/20</t>
  </si>
  <si>
    <t>مهندسی – صنعتی فهامه</t>
  </si>
  <si>
    <t>روشا اندیش</t>
  </si>
  <si>
    <t>1398/03/30</t>
  </si>
  <si>
    <t>اس جی اس ایران لیمیتد</t>
  </si>
  <si>
    <t>تهران (واحد 2)</t>
  </si>
  <si>
    <t>کنترل اندیش پاسارگاد</t>
  </si>
  <si>
    <t>رشت</t>
  </si>
  <si>
    <t>1395/03/19</t>
  </si>
  <si>
    <t>1398/03/19</t>
  </si>
  <si>
    <t>مهرگان کومش</t>
  </si>
  <si>
    <t>ساری</t>
  </si>
  <si>
    <t>1396/08/14</t>
  </si>
  <si>
    <t>1399/08/14</t>
  </si>
  <si>
    <t>آترین طرح آزما</t>
  </si>
  <si>
    <t>سنندج</t>
  </si>
  <si>
    <t>1395/10/08</t>
  </si>
  <si>
    <t>صعود افروز آپادانا</t>
  </si>
  <si>
    <t>شهرکرد</t>
  </si>
  <si>
    <t>مهندسی اندیشه فاخر شهرکرد</t>
  </si>
  <si>
    <t>1394/11/10</t>
  </si>
  <si>
    <t>1397/11/10</t>
  </si>
  <si>
    <t>سروش ناظران ارم</t>
  </si>
  <si>
    <t>شیراز</t>
  </si>
  <si>
    <t>1395/12/22</t>
  </si>
  <si>
    <t>1398/12/22</t>
  </si>
  <si>
    <t>صعود آزمای نوین ارگ</t>
  </si>
  <si>
    <t>قزوین</t>
  </si>
  <si>
    <t>پیام گستر پارس مهر</t>
  </si>
  <si>
    <t xml:space="preserve">قزوین </t>
  </si>
  <si>
    <t>1396/07/24</t>
  </si>
  <si>
    <t>نظارت بر ضوابط بهداشت انسانی و استاندارد قشم</t>
  </si>
  <si>
    <t xml:space="preserve">قشم </t>
  </si>
  <si>
    <t>بازرسی فنی و کنترل بین الملل وانا خاورمیانه</t>
  </si>
  <si>
    <t>کرج</t>
  </si>
  <si>
    <t>شالوده سنج آسیا</t>
  </si>
  <si>
    <t>گرگان</t>
  </si>
  <si>
    <t>ساسان صنعت پیشگام آتیه</t>
  </si>
  <si>
    <t>مراغه</t>
  </si>
  <si>
    <t>مشهد</t>
  </si>
  <si>
    <t>بهداد صنعت آریان خراسان</t>
  </si>
  <si>
    <t>1390/09/22</t>
  </si>
  <si>
    <t>1399/07/04</t>
  </si>
  <si>
    <t>1392/07/22</t>
  </si>
  <si>
    <t>نوین معیار آزما آپادانا</t>
  </si>
  <si>
    <t xml:space="preserve">همدان </t>
  </si>
  <si>
    <t>1399/10/24</t>
  </si>
  <si>
    <t>کیفیت آفرینان زاگرس</t>
  </si>
  <si>
    <t>یاسوج</t>
  </si>
  <si>
    <t>نام شرکت</t>
  </si>
  <si>
    <t>نشانی شرکت و تلفن</t>
  </si>
  <si>
    <t>تاریخ صدور اولیه</t>
  </si>
  <si>
    <t>تاریخ اعتبار گواهینامه</t>
  </si>
  <si>
    <t xml:space="preserve">تعاونی خدمات فنی مهندسی مکانیک </t>
  </si>
  <si>
    <t>ستون</t>
  </si>
  <si>
    <t>حالت اول: بارگیری با 125% بار نامی</t>
  </si>
  <si>
    <t>حالت اول: بارگیری کابین با 125% بار نامی</t>
  </si>
  <si>
    <t>حالت دوم: توقف اضطراری بدون بار</t>
  </si>
  <si>
    <t>حالت سوم: توقف اضطراری با 100% بار</t>
  </si>
  <si>
    <t>حالت چهارم:  وزنه یا کابین گیر کرده</t>
  </si>
  <si>
    <t xml:space="preserve">حالت چهارم:  کابین یا وزنه متوقف شده </t>
  </si>
  <si>
    <t>خروجی ها و محاسبات</t>
  </si>
  <si>
    <t xml:space="preserve"> ضریب اطمینان طناب‌ها</t>
  </si>
  <si>
    <t>محاسبات ریل‏های هادی کابین</t>
  </si>
  <si>
    <t>محاسبات ریل‌های هادی کابین</t>
  </si>
  <si>
    <t>تعداد فلکه‌های هرزگرد با خم معکوس</t>
  </si>
  <si>
    <t>محل قرارگیری فلکه‏های هرزگرد</t>
  </si>
  <si>
    <r>
      <t>cm</t>
    </r>
    <r>
      <rPr>
        <vertAlign val="superscript"/>
        <sz val="12"/>
        <rFont val="Tahoma"/>
        <family val="2"/>
      </rPr>
      <t>4</t>
    </r>
  </si>
  <si>
    <r>
      <t>cm</t>
    </r>
    <r>
      <rPr>
        <vertAlign val="superscript"/>
        <sz val="12"/>
        <rFont val="Tahoma"/>
        <family val="2"/>
      </rPr>
      <t>3</t>
    </r>
  </si>
  <si>
    <t>نیروی روی آستانه در کابین</t>
  </si>
  <si>
    <r>
      <t>N/cm</t>
    </r>
    <r>
      <rPr>
        <vertAlign val="superscript"/>
        <sz val="12"/>
        <rFont val="Tahoma"/>
        <family val="2"/>
      </rPr>
      <t>2</t>
    </r>
  </si>
  <si>
    <t>مشخصات ریل‌های هادی کابین</t>
  </si>
  <si>
    <t>جرم وزنه تعادلی-کششی و متعلقات</t>
  </si>
  <si>
    <t>سرعت سیم بکسل روی پولی کشش</t>
  </si>
  <si>
    <t>جرم موثر طناب های تعلیق</t>
  </si>
  <si>
    <t xml:space="preserve">جرم موثر طناب/ زنجیر جبران </t>
  </si>
  <si>
    <t>پارامتر یا فرمول</t>
  </si>
  <si>
    <t>محاسبات موتور آسانسور</t>
  </si>
  <si>
    <t>کاربری آسانسور</t>
  </si>
  <si>
    <t xml:space="preserve">نیروهای وارده  </t>
  </si>
  <si>
    <t>نیروی وارده بر زیر ضربه گیر وزنه</t>
  </si>
  <si>
    <t>جرم سیستم محرکه (موتور) و متعلقات (پایه)</t>
  </si>
  <si>
    <t xml:space="preserve">زاویه زیر برش </t>
  </si>
  <si>
    <t>راندمان گیربكس</t>
  </si>
  <si>
    <t>فاصله افقی بکسل های کابین و وزنه تعادل</t>
  </si>
  <si>
    <t>فاصله عمودی مراکز فلکه کشش تا هرزگرد</t>
  </si>
  <si>
    <t>نوع ترمز ایمنی</t>
  </si>
  <si>
    <t>ضریب اطمینان فعلی سیم بکسلها</t>
  </si>
  <si>
    <t>حداقل ضریب اطمینان مورد نیاز</t>
  </si>
  <si>
    <t>نام سازنده و نوع سیم بكسل</t>
  </si>
  <si>
    <t>قطرسیم بكسل</t>
  </si>
  <si>
    <t>نیروی وارده بر زیر ضربه گیر کابین</t>
  </si>
  <si>
    <t>وزن سیستم محرکه و متعلقات</t>
  </si>
  <si>
    <t>نیروی وارد بر سقف چاه دال بتونی</t>
  </si>
  <si>
    <t>نیروی وارد بر کف زیر ریلهای کابین</t>
  </si>
  <si>
    <t>بار استاتیکی بر محور پولی کشش</t>
  </si>
  <si>
    <t>جرم سیستم محرکه (موتور) و متعلقات (پایه موتور و..)</t>
  </si>
  <si>
    <t>فاصله افقی بکسلهای کابین و وزنه (شکل روبرو)</t>
  </si>
  <si>
    <t>فاصله عمودی مرکز فلکه کشش تا مرکز فلکه هرزگرد</t>
  </si>
  <si>
    <t>نوع سیم بكسل</t>
  </si>
  <si>
    <t>قطر سیم بكسل</t>
  </si>
  <si>
    <t>طناب/ زنجیر جبران</t>
  </si>
  <si>
    <t>فاصله عمودی مرکز فلکه کششی تا مرکز فلکه هرزگرد</t>
  </si>
  <si>
    <t>زاویه زیر برش</t>
  </si>
  <si>
    <t>حداقل ضریب اطمینان  مورد نیاز برای سیم بکسل ها</t>
  </si>
  <si>
    <t>ضریب اطمینان فعلی سیم بکسل ها</t>
  </si>
  <si>
    <t>ظرفیت مسافر</t>
  </si>
  <si>
    <t>محاسبه نیروهای وارد بر کف و سقف چاه</t>
  </si>
  <si>
    <t>نیروی وارد بر سقف چاه (دال بتونی زیر موتور)</t>
  </si>
  <si>
    <t>محاسبات موتور و گیربکس</t>
  </si>
  <si>
    <t>Motor Type =</t>
  </si>
  <si>
    <t>Brand</t>
  </si>
  <si>
    <t>Description</t>
  </si>
  <si>
    <t>عمق آستانه جلوی در کابین</t>
  </si>
  <si>
    <r>
      <t>Fy=(|P*g</t>
    </r>
    <r>
      <rPr>
        <vertAlign val="subscript"/>
        <sz val="13"/>
        <rFont val="Calibri"/>
        <family val="2"/>
        <scheme val="minor"/>
      </rPr>
      <t>n</t>
    </r>
    <r>
      <rPr>
        <sz val="13"/>
        <rFont val="Calibri"/>
        <family val="2"/>
        <scheme val="minor"/>
      </rPr>
      <t>*(Y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)+F</t>
    </r>
    <r>
      <rPr>
        <vertAlign val="subscript"/>
        <sz val="13"/>
        <rFont val="Calibri"/>
        <family val="2"/>
        <scheme val="minor"/>
      </rPr>
      <t>s</t>
    </r>
    <r>
      <rPr>
        <sz val="13"/>
        <rFont val="Calibri"/>
        <family val="2"/>
        <scheme val="minor"/>
      </rPr>
      <t>*(Y</t>
    </r>
    <r>
      <rPr>
        <vertAlign val="subscript"/>
        <sz val="13"/>
        <rFont val="Calibri"/>
        <family val="2"/>
        <scheme val="minor"/>
      </rPr>
      <t>i</t>
    </r>
    <r>
      <rPr>
        <sz val="13"/>
        <rFont val="Calibri"/>
        <family val="2"/>
        <scheme val="minor"/>
      </rPr>
      <t>-Y</t>
    </r>
    <r>
      <rPr>
        <vertAlign val="subscript"/>
        <sz val="13"/>
        <rFont val="Calibri"/>
        <family val="2"/>
        <scheme val="minor"/>
      </rPr>
      <t>s</t>
    </r>
    <r>
      <rPr>
        <sz val="13"/>
        <rFont val="Calibri"/>
        <family val="2"/>
        <scheme val="minor"/>
      </rPr>
      <t>)|)/(n/2*h) =</t>
    </r>
  </si>
  <si>
    <r>
      <t>F</t>
    </r>
    <r>
      <rPr>
        <vertAlign val="subscript"/>
        <sz val="13"/>
        <rFont val="Calibri"/>
        <family val="2"/>
        <scheme val="minor"/>
      </rPr>
      <t>x</t>
    </r>
    <r>
      <rPr>
        <sz val="13"/>
        <rFont val="Calibri"/>
        <family val="2"/>
        <scheme val="minor"/>
      </rPr>
      <t>=(|P*g</t>
    </r>
    <r>
      <rPr>
        <vertAlign val="subscript"/>
        <sz val="13"/>
        <rFont val="Calibri"/>
        <family val="2"/>
        <scheme val="minor"/>
      </rPr>
      <t>n</t>
    </r>
    <r>
      <rPr>
        <sz val="13"/>
        <rFont val="Calibri"/>
        <family val="2"/>
        <scheme val="minor"/>
      </rPr>
      <t>*(X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)+F</t>
    </r>
    <r>
      <rPr>
        <vertAlign val="subscript"/>
        <sz val="13"/>
        <rFont val="Calibri"/>
        <family val="2"/>
        <scheme val="minor"/>
      </rPr>
      <t>s</t>
    </r>
    <r>
      <rPr>
        <sz val="13"/>
        <rFont val="Calibri"/>
        <family val="2"/>
        <scheme val="minor"/>
      </rPr>
      <t>*(X</t>
    </r>
    <r>
      <rPr>
        <vertAlign val="subscript"/>
        <sz val="13"/>
        <rFont val="Calibri"/>
        <family val="2"/>
        <scheme val="minor"/>
      </rPr>
      <t>i</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</si>
  <si>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-X</t>
    </r>
    <r>
      <rPr>
        <vertAlign val="subscript"/>
        <sz val="13"/>
        <rFont val="Calibri"/>
        <family val="2"/>
        <scheme val="minor"/>
      </rPr>
      <t>s</t>
    </r>
    <r>
      <rPr>
        <sz val="13"/>
        <rFont val="Calibri"/>
        <family val="2"/>
        <scheme val="minor"/>
      </rPr>
      <t>)+P*(X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</si>
  <si>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-Y</t>
    </r>
    <r>
      <rPr>
        <vertAlign val="subscript"/>
        <sz val="13"/>
        <rFont val="Calibri"/>
        <family val="2"/>
        <scheme val="minor"/>
      </rPr>
      <t>s</t>
    </r>
    <r>
      <rPr>
        <sz val="13"/>
        <rFont val="Calibri"/>
        <family val="2"/>
        <scheme val="minor"/>
      </rPr>
      <t>)+P*(Y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</si>
  <si>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+p*X</t>
    </r>
    <r>
      <rPr>
        <vertAlign val="subscript"/>
        <sz val="13"/>
        <rFont val="Calibri"/>
        <family val="2"/>
        <scheme val="minor"/>
      </rPr>
      <t>p|</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</si>
  <si>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+p*Y</t>
    </r>
    <r>
      <rPr>
        <vertAlign val="subscript"/>
        <sz val="13"/>
        <rFont val="Calibri"/>
        <family val="2"/>
        <scheme val="minor"/>
      </rPr>
      <t>p</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</si>
  <si>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±D</t>
    </r>
    <r>
      <rPr>
        <vertAlign val="subscript"/>
        <sz val="13"/>
        <rFont val="Calibri"/>
        <family val="2"/>
        <scheme val="minor"/>
      </rPr>
      <t>x</t>
    </r>
    <r>
      <rPr>
        <sz val="13"/>
        <rFont val="Calibri"/>
        <family val="2"/>
        <scheme val="minor"/>
      </rPr>
      <t>/8)+p*X</t>
    </r>
    <r>
      <rPr>
        <vertAlign val="subscript"/>
        <sz val="13"/>
        <rFont val="Calibri"/>
        <family val="2"/>
        <scheme val="minor"/>
      </rPr>
      <t>p</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</si>
  <si>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±Dy/8)+p*Y</t>
    </r>
    <r>
      <rPr>
        <vertAlign val="subscript"/>
        <sz val="13"/>
        <rFont val="Calibri"/>
        <family val="2"/>
        <scheme val="minor"/>
      </rPr>
      <t>p</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</si>
  <si>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±D</t>
    </r>
    <r>
      <rPr>
        <vertAlign val="subscript"/>
        <sz val="13"/>
        <rFont val="Calibri"/>
        <family val="2"/>
        <scheme val="minor"/>
      </rPr>
      <t>x</t>
    </r>
    <r>
      <rPr>
        <sz val="13"/>
        <rFont val="Calibri"/>
        <family val="2"/>
        <scheme val="minor"/>
      </rPr>
      <t>/8-X</t>
    </r>
    <r>
      <rPr>
        <vertAlign val="subscript"/>
        <sz val="13"/>
        <rFont val="Calibri"/>
        <family val="2"/>
        <scheme val="minor"/>
      </rPr>
      <t>s</t>
    </r>
    <r>
      <rPr>
        <sz val="13"/>
        <rFont val="Calibri"/>
        <family val="2"/>
        <scheme val="minor"/>
      </rPr>
      <t>)+P*(X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</si>
  <si>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±D</t>
    </r>
    <r>
      <rPr>
        <vertAlign val="subscript"/>
        <sz val="13"/>
        <rFont val="Calibri"/>
        <family val="2"/>
        <scheme val="minor"/>
      </rPr>
      <t>y</t>
    </r>
    <r>
      <rPr>
        <sz val="13"/>
        <rFont val="Calibri"/>
        <family val="2"/>
        <scheme val="minor"/>
      </rPr>
      <t>/8-Y</t>
    </r>
    <r>
      <rPr>
        <vertAlign val="subscript"/>
        <sz val="13"/>
        <rFont val="Calibri"/>
        <family val="2"/>
        <scheme val="minor"/>
      </rPr>
      <t>s</t>
    </r>
    <r>
      <rPr>
        <sz val="13"/>
        <rFont val="Calibri"/>
        <family val="2"/>
        <scheme val="minor"/>
      </rPr>
      <t>)+P*(Y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)|)/(n/2*h) =</t>
    </r>
  </si>
  <si>
    <t>درهای کابین</t>
  </si>
  <si>
    <t>عمق آستانه</t>
  </si>
  <si>
    <t>عرض</t>
  </si>
  <si>
    <t>در اول (جلو)</t>
  </si>
  <si>
    <t>در دوم (راست)</t>
  </si>
  <si>
    <t>در سوم (عقب)</t>
  </si>
  <si>
    <t>در چهار (چپ)</t>
  </si>
  <si>
    <t>درهای کابین محسوب شده در مساحت مفید</t>
  </si>
  <si>
    <t>نام سازنده/ نوع موتور آسانسور</t>
  </si>
  <si>
    <t>عمق آستانه جلوی در</t>
  </si>
  <si>
    <t>مشخصات آسانسور و کابین</t>
  </si>
  <si>
    <t>مشحصات ریل، وزنه تعادل و فواصل مرکز جرمها</t>
  </si>
  <si>
    <r>
      <t>m</t>
    </r>
    <r>
      <rPr>
        <vertAlign val="subscript"/>
        <sz val="12"/>
        <rFont val="Calibri"/>
        <family val="2"/>
        <scheme val="minor"/>
      </rPr>
      <t xml:space="preserve">PTD </t>
    </r>
    <r>
      <rPr>
        <i/>
        <sz val="12"/>
        <rFont val="Calibri"/>
        <family val="2"/>
        <scheme val="minor"/>
      </rPr>
      <t>= J</t>
    </r>
    <r>
      <rPr>
        <i/>
        <vertAlign val="subscript"/>
        <sz val="12"/>
        <rFont val="Calibri"/>
        <family val="2"/>
        <scheme val="minor"/>
      </rPr>
      <t>PTD</t>
    </r>
    <r>
      <rPr>
        <i/>
        <sz val="12"/>
        <rFont val="Calibri"/>
        <family val="2"/>
        <scheme val="minor"/>
      </rPr>
      <t>/R</t>
    </r>
    <r>
      <rPr>
        <i/>
        <vertAlign val="superscript"/>
        <sz val="12"/>
        <rFont val="Calibri"/>
        <family val="2"/>
        <scheme val="minor"/>
      </rPr>
      <t>2</t>
    </r>
    <r>
      <rPr>
        <sz val="12"/>
        <rFont val="Calibri"/>
        <family val="2"/>
        <scheme val="minor"/>
      </rPr>
      <t xml:space="preserve"> =</t>
    </r>
  </si>
  <si>
    <t>در چهارم (چپ)</t>
  </si>
  <si>
    <t>جرم واحد طول هر طناب/ زنجیر جبران</t>
  </si>
  <si>
    <t>مشخصات ریل، وزنه تعادل و فواصل مرکز جرم ها</t>
  </si>
  <si>
    <t>مشخصات ریل و وزنه</t>
  </si>
  <si>
    <t>ضریب ضربه در حالت ترمز ایمنی</t>
  </si>
  <si>
    <t xml:space="preserve">عامل اصطکاک </t>
  </si>
  <si>
    <t>ضریب شکل شیار</t>
  </si>
  <si>
    <t>ضریب شتاب</t>
  </si>
  <si>
    <t>محاسبات کشش، فشار مخصوص و ضریب اطمینان طناب‏ها</t>
  </si>
  <si>
    <t>نیرو و تنش کمانشی</t>
  </si>
  <si>
    <t>فشار مخصوص فعلی</t>
  </si>
  <si>
    <t>فشار مخصوص ماکزیمم</t>
  </si>
  <si>
    <t>فاصله عمودی کفشکهای بالا و پایین کابین</t>
  </si>
  <si>
    <t>جرم وزنه تعادل و متعلقات</t>
  </si>
  <si>
    <t>سیم بکسل، زنجیر جبران و...</t>
  </si>
  <si>
    <t>سیم بکسل، کابل و زنجیر جبران</t>
  </si>
  <si>
    <t>ضریب ضربه در هنگام پاراشوت</t>
  </si>
  <si>
    <t>ErrorSum</t>
  </si>
  <si>
    <t>Error</t>
  </si>
  <si>
    <t>Sum Error</t>
  </si>
  <si>
    <t>حالت دوم: کابین بالاترین توقف بدون بار</t>
  </si>
  <si>
    <t xml:space="preserve">حالت اول: کابین پایینترین توقف با 125% بار </t>
  </si>
  <si>
    <r>
      <t>M</t>
    </r>
    <r>
      <rPr>
        <vertAlign val="subscript"/>
        <sz val="14"/>
        <rFont val="Calibri"/>
        <family val="2"/>
        <scheme val="minor"/>
      </rPr>
      <t>Cwt</t>
    </r>
    <r>
      <rPr>
        <sz val="14"/>
        <rFont val="Calibri"/>
        <family val="2"/>
        <scheme val="minor"/>
      </rPr>
      <t xml:space="preserve"> = (P+q.Q+M</t>
    </r>
    <r>
      <rPr>
        <vertAlign val="subscript"/>
        <sz val="14"/>
        <rFont val="Calibri"/>
        <family val="2"/>
        <scheme val="minor"/>
      </rPr>
      <t>Trav</t>
    </r>
    <r>
      <rPr>
        <sz val="14"/>
        <rFont val="Calibri"/>
        <family val="2"/>
        <scheme val="minor"/>
      </rPr>
      <t>/2) =</t>
    </r>
  </si>
  <si>
    <r>
      <t>M</t>
    </r>
    <r>
      <rPr>
        <vertAlign val="subscript"/>
        <sz val="14"/>
        <rFont val="Calibri"/>
        <family val="2"/>
        <scheme val="minor"/>
      </rPr>
      <t>Cwt</t>
    </r>
    <r>
      <rPr>
        <sz val="14"/>
        <rFont val="Calibri"/>
        <family val="2"/>
        <scheme val="minor"/>
      </rPr>
      <t xml:space="preserve"> = P+q.Q+M</t>
    </r>
    <r>
      <rPr>
        <vertAlign val="subscript"/>
        <sz val="14"/>
        <rFont val="Calibri"/>
        <family val="2"/>
        <scheme val="minor"/>
      </rPr>
      <t>Trav</t>
    </r>
    <r>
      <rPr>
        <sz val="14"/>
        <rFont val="Calibri"/>
        <family val="2"/>
        <scheme val="minor"/>
      </rPr>
      <t>/2 =</t>
    </r>
  </si>
  <si>
    <t>راندمان پولی ها</t>
  </si>
  <si>
    <r>
      <t>η</t>
    </r>
    <r>
      <rPr>
        <vertAlign val="subscript"/>
        <sz val="14"/>
        <rFont val="Calibri"/>
        <family val="2"/>
        <scheme val="minor"/>
      </rPr>
      <t>P</t>
    </r>
    <r>
      <rPr>
        <sz val="14"/>
        <rFont val="Calibri"/>
        <family val="2"/>
        <scheme val="minor"/>
      </rPr>
      <t xml:space="preserve"> =</t>
    </r>
  </si>
  <si>
    <t>حداکثر بار غیر متعادل روی موتور</t>
  </si>
  <si>
    <t>حداکثر بار استاتیکی وارد بر محور پولی کشش</t>
  </si>
  <si>
    <r>
      <t>C</t>
    </r>
    <r>
      <rPr>
        <vertAlign val="subscript"/>
        <sz val="14"/>
        <rFont val="Calibri"/>
        <family val="2"/>
        <scheme val="minor"/>
      </rPr>
      <t>s</t>
    </r>
    <r>
      <rPr>
        <sz val="14"/>
        <rFont val="Calibri"/>
        <family val="2"/>
        <scheme val="minor"/>
      </rPr>
      <t xml:space="preserve">  = W</t>
    </r>
    <r>
      <rPr>
        <vertAlign val="subscript"/>
        <sz val="14"/>
        <rFont val="Calibri"/>
        <family val="2"/>
        <scheme val="minor"/>
      </rPr>
      <t>r</t>
    </r>
    <r>
      <rPr>
        <sz val="14"/>
        <rFont val="Calibri"/>
        <family val="2"/>
        <scheme val="minor"/>
      </rPr>
      <t>*((P+Q</t>
    </r>
    <r>
      <rPr>
        <sz val="14"/>
        <rFont val="Calibri"/>
        <family val="2"/>
        <scheme val="minor"/>
      </rPr>
      <t>+M</t>
    </r>
    <r>
      <rPr>
        <vertAlign val="subscript"/>
        <sz val="14"/>
        <rFont val="Calibri"/>
        <family val="2"/>
        <scheme val="minor"/>
      </rPr>
      <t>Cwt</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comp</t>
    </r>
    <r>
      <rPr>
        <sz val="14"/>
        <rFont val="Calibri"/>
        <family val="2"/>
        <scheme val="minor"/>
      </rPr>
      <t>)/r+M</t>
    </r>
    <r>
      <rPr>
        <vertAlign val="subscript"/>
        <sz val="14"/>
        <rFont val="Calibri"/>
        <family val="2"/>
        <scheme val="minor"/>
      </rPr>
      <t>SR</t>
    </r>
    <r>
      <rPr>
        <sz val="14"/>
        <rFont val="Calibri"/>
        <family val="2"/>
        <scheme val="minor"/>
      </rPr>
      <t xml:space="preserve"> )=</t>
    </r>
  </si>
  <si>
    <t>خدمات بازرسی بین المللی بخرد</t>
  </si>
  <si>
    <t>رهاورد صنعت البرز</t>
  </si>
  <si>
    <t>زاگرس تطبیق کالا</t>
  </si>
  <si>
    <t>گستر فراز</t>
  </si>
  <si>
    <t>پارس سامان طوس</t>
  </si>
  <si>
    <r>
      <t>M</t>
    </r>
    <r>
      <rPr>
        <vertAlign val="subscript"/>
        <sz val="13"/>
        <rFont val="Calibri"/>
        <family val="2"/>
        <scheme val="minor"/>
      </rPr>
      <t>SR</t>
    </r>
    <r>
      <rPr>
        <sz val="13"/>
        <rFont val="Calibri"/>
        <family val="2"/>
        <scheme val="minor"/>
      </rPr>
      <t xml:space="preserve"> = H*n</t>
    </r>
    <r>
      <rPr>
        <vertAlign val="subscript"/>
        <sz val="13"/>
        <rFont val="Calibri"/>
        <family val="2"/>
        <scheme val="minor"/>
      </rPr>
      <t>S</t>
    </r>
    <r>
      <rPr>
        <sz val="13"/>
        <rFont val="Calibri"/>
        <family val="2"/>
        <scheme val="minor"/>
      </rPr>
      <t>*m</t>
    </r>
    <r>
      <rPr>
        <vertAlign val="subscript"/>
        <sz val="13"/>
        <rFont val="Calibri"/>
        <family val="2"/>
        <scheme val="minor"/>
      </rPr>
      <t>SR</t>
    </r>
    <r>
      <rPr>
        <sz val="13"/>
        <rFont val="Calibri"/>
        <family val="2"/>
        <scheme val="minor"/>
      </rPr>
      <t xml:space="preserve"> =</t>
    </r>
  </si>
  <si>
    <r>
      <t>M</t>
    </r>
    <r>
      <rPr>
        <vertAlign val="subscript"/>
        <sz val="13"/>
        <rFont val="Calibri"/>
        <family val="2"/>
        <scheme val="minor"/>
      </rPr>
      <t>CR</t>
    </r>
    <r>
      <rPr>
        <sz val="13"/>
        <rFont val="Calibri"/>
        <family val="2"/>
        <scheme val="minor"/>
      </rPr>
      <t xml:space="preserve"> = H*n</t>
    </r>
    <r>
      <rPr>
        <vertAlign val="subscript"/>
        <sz val="13"/>
        <rFont val="Calibri"/>
        <family val="2"/>
        <scheme val="minor"/>
      </rPr>
      <t>C</t>
    </r>
    <r>
      <rPr>
        <sz val="13"/>
        <rFont val="Calibri"/>
        <family val="2"/>
        <scheme val="minor"/>
      </rPr>
      <t>*m</t>
    </r>
    <r>
      <rPr>
        <vertAlign val="subscript"/>
        <sz val="13"/>
        <rFont val="Calibri"/>
        <family val="2"/>
        <scheme val="minor"/>
      </rPr>
      <t>CR</t>
    </r>
    <r>
      <rPr>
        <sz val="13"/>
        <rFont val="Calibri"/>
        <family val="2"/>
        <scheme val="minor"/>
      </rPr>
      <t xml:space="preserve"> =</t>
    </r>
  </si>
  <si>
    <t xml:space="preserve">جرم موثر طناب های تعلیق در یک سمت </t>
  </si>
  <si>
    <t>جرم موثر طناب/ زنجیر جبران در یک سمت</t>
  </si>
  <si>
    <r>
      <t>M</t>
    </r>
    <r>
      <rPr>
        <vertAlign val="subscript"/>
        <sz val="13"/>
        <rFont val="Calibri"/>
        <family val="2"/>
        <scheme val="minor"/>
      </rPr>
      <t>Trav</t>
    </r>
    <r>
      <rPr>
        <sz val="13"/>
        <rFont val="Calibri"/>
        <family val="2"/>
        <scheme val="minor"/>
      </rPr>
      <t xml:space="preserve"> = 0.5*H</t>
    </r>
    <r>
      <rPr>
        <sz val="13"/>
        <rFont val="Calibri"/>
        <family val="2"/>
        <scheme val="minor"/>
      </rPr>
      <t>*n</t>
    </r>
    <r>
      <rPr>
        <vertAlign val="subscript"/>
        <sz val="13"/>
        <rFont val="Calibri"/>
        <family val="2"/>
        <scheme val="minor"/>
      </rPr>
      <t>t</t>
    </r>
    <r>
      <rPr>
        <sz val="13"/>
        <rFont val="Calibri"/>
        <family val="2"/>
        <scheme val="minor"/>
      </rPr>
      <t>*m</t>
    </r>
    <r>
      <rPr>
        <vertAlign val="subscript"/>
        <sz val="13"/>
        <rFont val="Calibri"/>
        <family val="2"/>
        <scheme val="minor"/>
      </rPr>
      <t>Tr</t>
    </r>
    <r>
      <rPr>
        <sz val="13"/>
        <rFont val="Calibri"/>
        <family val="2"/>
        <scheme val="minor"/>
      </rPr>
      <t xml:space="preserve"> =</t>
    </r>
  </si>
  <si>
    <t>توقف کابین خالی هنگام حرکت به سمت بالا در بالاترین طبقه</t>
  </si>
  <si>
    <t>توقف کابین خالی هنگام حرکت به سمت بالا در پایین ترین طبقه</t>
  </si>
  <si>
    <t>توقف کابین پر هنگام حرکت به سمت پایین در پایین ترین طبقه</t>
  </si>
  <si>
    <t>توقف کابین پر هنگام حرکت به سمت پایین در بالا ترین طبقه</t>
  </si>
  <si>
    <r>
      <t>T</t>
    </r>
    <r>
      <rPr>
        <vertAlign val="subscript"/>
        <sz val="13"/>
        <rFont val="Calibri"/>
        <family val="2"/>
        <scheme val="minor"/>
      </rPr>
      <t xml:space="preserve">2 </t>
    </r>
    <r>
      <rPr>
        <sz val="13"/>
        <rFont val="Calibri"/>
        <family val="2"/>
        <scheme val="minor"/>
      </rPr>
      <t>= 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 xml:space="preserve"> =</t>
    </r>
  </si>
  <si>
    <r>
      <t>q</t>
    </r>
    <r>
      <rPr>
        <vertAlign val="subscript"/>
        <sz val="14"/>
        <rFont val="Calibri"/>
        <family val="2"/>
        <scheme val="minor"/>
      </rPr>
      <t>m1</t>
    </r>
    <r>
      <rPr>
        <sz val="14"/>
        <rFont val="Calibri"/>
        <family val="2"/>
        <scheme val="minor"/>
      </rPr>
      <t xml:space="preserve"> = [(P+Q-M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</si>
  <si>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q</t>
    </r>
    <r>
      <rPr>
        <vertAlign val="subscript"/>
        <sz val="14"/>
        <rFont val="Calibri"/>
        <family val="2"/>
        <scheme val="minor"/>
      </rPr>
      <t>m2</t>
    </r>
    <r>
      <rPr>
        <sz val="14"/>
        <rFont val="Calibri"/>
        <family val="2"/>
        <scheme val="minor"/>
      </rPr>
      <t xml:space="preserve"> = [(P+Q+M</t>
    </r>
    <r>
      <rPr>
        <vertAlign val="subscript"/>
        <sz val="14"/>
        <rFont val="Calibri"/>
        <family val="2"/>
        <scheme val="minor"/>
      </rPr>
      <t>Trav</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</si>
  <si>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t xml:space="preserve">بار نامتعادل روی موتور، کابین با ظرفیت پر در پایین </t>
  </si>
  <si>
    <t xml:space="preserve">بار نامتعادل روی موتور، کابین با ظرفیت پر در بالا </t>
  </si>
  <si>
    <t xml:space="preserve">بار نامتعادل روی موتور، کابین خالی در پایین </t>
  </si>
  <si>
    <t xml:space="preserve">بار نامتعادل روی موتور، کابین خالی در بالا </t>
  </si>
  <si>
    <t xml:space="preserve">توان مورد نیاز موتور، کابین پر در میانه مسیر </t>
  </si>
  <si>
    <t>حداکثر توان مورد نیاز موتور</t>
  </si>
  <si>
    <r>
      <t>FR</t>
    </r>
    <r>
      <rPr>
        <vertAlign val="subscript"/>
        <sz val="13"/>
        <rFont val="Calibri"/>
        <family val="2"/>
        <scheme val="minor"/>
      </rPr>
      <t>Cwt</t>
    </r>
    <r>
      <rPr>
        <sz val="13"/>
        <rFont val="Calibri"/>
        <family val="2"/>
        <scheme val="minor"/>
      </rPr>
      <t xml:space="preserve"> =</t>
    </r>
  </si>
  <si>
    <r>
      <t>FR</t>
    </r>
    <r>
      <rPr>
        <vertAlign val="subscript"/>
        <sz val="13"/>
        <rFont val="Calibri"/>
        <family val="2"/>
        <scheme val="minor"/>
      </rPr>
      <t>Car</t>
    </r>
    <r>
      <rPr>
        <sz val="13"/>
        <rFont val="Calibri"/>
        <family val="2"/>
        <scheme val="minor"/>
      </rPr>
      <t xml:space="preserve"> =</t>
    </r>
  </si>
  <si>
    <r>
      <t>T</t>
    </r>
    <r>
      <rPr>
        <vertAlign val="subscript"/>
        <sz val="13"/>
        <rFont val="Calibri"/>
        <family val="2"/>
        <scheme val="minor"/>
      </rPr>
      <t>1</t>
    </r>
    <r>
      <rPr>
        <sz val="13"/>
        <rFont val="Calibri"/>
        <family val="2"/>
        <scheme val="minor"/>
      </rPr>
      <t>=(P+1.25*Q).g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 +M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</si>
  <si>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</si>
  <si>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</si>
  <si>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2</t>
    </r>
    <r>
      <rPr>
        <sz val="13"/>
        <rFont val="Calibri"/>
        <family val="2"/>
        <scheme val="minor"/>
      </rPr>
      <t>=(P+M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</si>
  <si>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=(P+Q).(g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</si>
  <si>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</si>
  <si>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=(P+Q+M</t>
    </r>
    <r>
      <rPr>
        <vertAlign val="subscript"/>
        <sz val="13"/>
        <rFont val="Calibri"/>
        <family val="2"/>
        <scheme val="minor"/>
      </rPr>
      <t>CRcar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</si>
  <si>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=(P+M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</si>
  <si>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cwt</t>
    </r>
    <r>
      <rPr>
        <sz val="13"/>
        <rFont val="Calibri"/>
        <family val="2"/>
        <scheme val="minor"/>
      </rPr>
      <t>/r =</t>
    </r>
  </si>
  <si>
    <t xml:space="preserve">توان مورد نیاز در میانه مسیر </t>
  </si>
  <si>
    <r>
      <t>W</t>
    </r>
    <r>
      <rPr>
        <vertAlign val="subscript"/>
        <sz val="14"/>
        <rFont val="Calibri"/>
        <family val="2"/>
        <scheme val="minor"/>
      </rPr>
      <t>max</t>
    </r>
    <r>
      <rPr>
        <sz val="14"/>
        <rFont val="Calibri"/>
        <family val="2"/>
        <scheme val="minor"/>
      </rPr>
      <t xml:space="preserve"> = (q</t>
    </r>
    <r>
      <rPr>
        <vertAlign val="subscript"/>
        <sz val="14"/>
        <rFont val="Calibri"/>
        <family val="2"/>
        <scheme val="minor"/>
      </rPr>
      <t>m(max)</t>
    </r>
    <r>
      <rPr>
        <sz val="14"/>
        <rFont val="Calibri"/>
        <family val="2"/>
        <scheme val="minor"/>
      </rPr>
      <t>*V</t>
    </r>
    <r>
      <rPr>
        <vertAlign val="subscript"/>
        <sz val="14"/>
        <rFont val="Calibri"/>
        <family val="2"/>
        <scheme val="minor"/>
      </rPr>
      <t>Sr</t>
    </r>
    <r>
      <rPr>
        <sz val="14"/>
        <rFont val="Calibri"/>
        <family val="2"/>
        <scheme val="minor"/>
      </rPr>
      <t>*g</t>
    </r>
    <r>
      <rPr>
        <vertAlign val="subscript"/>
        <sz val="14"/>
        <rFont val="Calibri"/>
        <family val="2"/>
        <scheme val="minor"/>
      </rPr>
      <t>n</t>
    </r>
    <r>
      <rPr>
        <sz val="14"/>
        <rFont val="Calibri"/>
        <family val="2"/>
        <scheme val="minor"/>
      </rPr>
      <t>)/[η</t>
    </r>
    <r>
      <rPr>
        <vertAlign val="subscript"/>
        <sz val="14"/>
        <rFont val="Calibri"/>
        <family val="2"/>
        <scheme val="minor"/>
      </rPr>
      <t>g</t>
    </r>
    <r>
      <rPr>
        <sz val="14"/>
        <rFont val="Calibri"/>
        <family val="2"/>
        <scheme val="minor"/>
      </rPr>
      <t>*η</t>
    </r>
    <r>
      <rPr>
        <vertAlign val="subscript"/>
        <sz val="14"/>
        <rFont val="Calibri"/>
        <family val="2"/>
        <scheme val="minor"/>
      </rPr>
      <t>S</t>
    </r>
    <r>
      <rPr>
        <sz val="14"/>
        <rFont val="Calibri"/>
        <family val="2"/>
        <scheme val="minor"/>
      </rPr>
      <t>] =</t>
    </r>
  </si>
  <si>
    <t>مقایسه فشار مخصوص</t>
  </si>
  <si>
    <r>
      <t>q</t>
    </r>
    <r>
      <rPr>
        <vertAlign val="subscript"/>
        <sz val="14"/>
        <rFont val="Calibri"/>
        <family val="2"/>
        <scheme val="minor"/>
      </rPr>
      <t>m3</t>
    </r>
    <r>
      <rPr>
        <sz val="14"/>
        <rFont val="Calibri"/>
        <family val="2"/>
        <scheme val="minor"/>
      </rPr>
      <t xml:space="preserve"> = [(-P+M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</si>
  <si>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q</t>
    </r>
    <r>
      <rPr>
        <vertAlign val="subscript"/>
        <sz val="14"/>
        <rFont val="Calibri"/>
        <family val="2"/>
        <scheme val="minor"/>
      </rPr>
      <t>m4</t>
    </r>
    <r>
      <rPr>
        <sz val="14"/>
        <rFont val="Calibri"/>
        <family val="2"/>
        <scheme val="minor"/>
      </rPr>
      <t xml:space="preserve"> = [(-P-M</t>
    </r>
    <r>
      <rPr>
        <vertAlign val="subscript"/>
        <sz val="14"/>
        <rFont val="Calibri"/>
        <family val="2"/>
        <scheme val="minor"/>
      </rPr>
      <t>Trav</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</si>
  <si>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W</t>
    </r>
    <r>
      <rPr>
        <vertAlign val="subscript"/>
        <sz val="14"/>
        <rFont val="Calibri"/>
        <family val="2"/>
        <scheme val="minor"/>
      </rPr>
      <t>mid</t>
    </r>
    <r>
      <rPr>
        <sz val="14"/>
        <rFont val="Calibri"/>
        <family val="2"/>
        <scheme val="minor"/>
      </rPr>
      <t xml:space="preserve"> =Q(1+|1-2q|)*V</t>
    </r>
    <r>
      <rPr>
        <vertAlign val="subscript"/>
        <sz val="14"/>
        <rFont val="Calibri"/>
        <family val="2"/>
        <scheme val="minor"/>
      </rPr>
      <t>car</t>
    </r>
    <r>
      <rPr>
        <sz val="14"/>
        <rFont val="Calibri"/>
        <family val="2"/>
        <scheme val="minor"/>
      </rPr>
      <t>*g</t>
    </r>
    <r>
      <rPr>
        <vertAlign val="subscript"/>
        <sz val="14"/>
        <rFont val="Calibri"/>
        <family val="2"/>
        <scheme val="minor"/>
      </rPr>
      <t>n</t>
    </r>
    <r>
      <rPr>
        <sz val="14"/>
        <rFont val="Calibri"/>
        <family val="2"/>
        <scheme val="minor"/>
      </rPr>
      <t>/[2*η</t>
    </r>
    <r>
      <rPr>
        <vertAlign val="subscript"/>
        <sz val="14"/>
        <rFont val="Calibri"/>
        <family val="2"/>
        <scheme val="minor"/>
      </rPr>
      <t>g</t>
    </r>
    <r>
      <rPr>
        <sz val="14"/>
        <rFont val="Calibri"/>
        <family val="2"/>
        <scheme val="minor"/>
      </rPr>
      <t>*η</t>
    </r>
    <r>
      <rPr>
        <vertAlign val="subscript"/>
        <sz val="14"/>
        <rFont val="Calibri"/>
        <family val="2"/>
        <scheme val="minor"/>
      </rPr>
      <t>S</t>
    </r>
    <r>
      <rPr>
        <sz val="14"/>
        <rFont val="Calibri"/>
        <family val="2"/>
        <scheme val="minor"/>
      </rPr>
      <t>*η</t>
    </r>
    <r>
      <rPr>
        <vertAlign val="subscript"/>
        <sz val="14"/>
        <rFont val="Calibri"/>
        <family val="2"/>
        <scheme val="minor"/>
      </rPr>
      <t>P</t>
    </r>
    <r>
      <rPr>
        <sz val="14"/>
        <rFont val="Calibri"/>
        <family val="2"/>
        <scheme val="minor"/>
      </rPr>
      <t>] =</t>
    </r>
  </si>
  <si>
    <r>
      <t>T</t>
    </r>
    <r>
      <rPr>
        <vertAlign val="subscript"/>
        <sz val="13"/>
        <rFont val="Calibri"/>
        <family val="2"/>
        <scheme val="minor"/>
      </rPr>
      <t>1</t>
    </r>
    <r>
      <rPr>
        <sz val="13"/>
        <rFont val="Calibri"/>
        <family val="2"/>
        <scheme val="minor"/>
      </rPr>
      <t>=(P+1.25*Q+M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</si>
  <si>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.gn+FR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</si>
  <si>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</si>
  <si>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2</t>
    </r>
    <r>
      <rPr>
        <sz val="13"/>
        <rFont val="Calibri"/>
        <family val="2"/>
        <scheme val="minor"/>
      </rPr>
      <t>=P.(g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</si>
  <si>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 xml:space="preserve">SR </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</si>
  <si>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t>تعداد ایستگاه (توقف)</t>
  </si>
  <si>
    <t xml:space="preserve"> طول (ارتفاع) مسیر حرکت</t>
  </si>
  <si>
    <t>ظرفیت تعداد مسافر</t>
  </si>
  <si>
    <t>حداکثر بار استاتیکی مجاز روی فلکه کشش</t>
  </si>
  <si>
    <t>توان نامی خروجی موتور</t>
  </si>
  <si>
    <t>راهنمایی: در صورتیکه سیم بکسل مورد نظر در این جدول وجود ندارد میتوان با وارد کردن مشخصات سیم بکسل خاص مورد نظر در چهار ستون آخر (13)، در ورودی ها از آنها استفاده نمود. در اینصورت ارایه مستندات و مدارک مربوطه الزامی است.</t>
  </si>
  <si>
    <t>TXX/X</t>
  </si>
  <si>
    <t>XX-XX-XX</t>
  </si>
  <si>
    <t>Other</t>
  </si>
  <si>
    <r>
      <t>A</t>
    </r>
    <r>
      <rPr>
        <vertAlign val="subscript"/>
        <sz val="13"/>
        <rFont val="Calibri"/>
        <family val="2"/>
        <scheme val="minor"/>
      </rPr>
      <t xml:space="preserve">total </t>
    </r>
    <r>
      <rPr>
        <sz val="13"/>
        <rFont val="Calibri"/>
        <family val="2"/>
        <scheme val="minor"/>
      </rPr>
      <t>=</t>
    </r>
  </si>
  <si>
    <r>
      <t>C</t>
    </r>
    <r>
      <rPr>
        <vertAlign val="subscript"/>
        <sz val="13"/>
        <rFont val="Calibri"/>
        <family val="2"/>
        <scheme val="minor"/>
      </rPr>
      <t>sMAX</t>
    </r>
    <r>
      <rPr>
        <sz val="13"/>
        <rFont val="Calibri"/>
        <family val="2"/>
        <scheme val="minor"/>
      </rPr>
      <t xml:space="preserve"> =</t>
    </r>
  </si>
  <si>
    <r>
      <t>m</t>
    </r>
    <r>
      <rPr>
        <vertAlign val="subscript"/>
        <sz val="13"/>
        <rFont val="Calibri"/>
        <family val="2"/>
        <scheme val="minor"/>
      </rPr>
      <t xml:space="preserve">PTD </t>
    </r>
    <r>
      <rPr>
        <i/>
        <sz val="13"/>
        <rFont val="Calibri"/>
        <family val="2"/>
        <scheme val="minor"/>
      </rPr>
      <t xml:space="preserve">= </t>
    </r>
  </si>
  <si>
    <r>
      <t>F</t>
    </r>
    <r>
      <rPr>
        <vertAlign val="subscript"/>
        <sz val="13"/>
        <rFont val="Calibri"/>
        <family val="2"/>
        <scheme val="minor"/>
      </rPr>
      <t>RCar</t>
    </r>
    <r>
      <rPr>
        <sz val="13"/>
        <rFont val="Calibri"/>
        <family val="2"/>
        <scheme val="minor"/>
      </rPr>
      <t xml:space="preserve"> =</t>
    </r>
  </si>
  <si>
    <r>
      <t>F</t>
    </r>
    <r>
      <rPr>
        <vertAlign val="subscript"/>
        <sz val="13"/>
        <rFont val="Calibri"/>
        <family val="2"/>
        <scheme val="minor"/>
      </rPr>
      <t>RCwt</t>
    </r>
    <r>
      <rPr>
        <sz val="13"/>
        <rFont val="Calibri"/>
        <family val="2"/>
        <scheme val="minor"/>
      </rPr>
      <t xml:space="preserve"> =</t>
    </r>
  </si>
  <si>
    <r>
      <t>F</t>
    </r>
    <r>
      <rPr>
        <vertAlign val="subscript"/>
        <sz val="13"/>
        <rFont val="Calibri"/>
        <family val="2"/>
        <scheme val="minor"/>
      </rPr>
      <t>k</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(Q+P)/n =</t>
    </r>
  </si>
  <si>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t>
    </r>
    <r>
      <rPr>
        <sz val="13"/>
        <rFont val="Calibri"/>
        <family val="2"/>
        <scheme val="minor"/>
      </rPr>
      <t>ω/A =</t>
    </r>
  </si>
  <si>
    <r>
      <t>σ = σ</t>
    </r>
    <r>
      <rPr>
        <vertAlign val="subscript"/>
        <sz val="13"/>
        <rFont val="Calibri"/>
        <family val="2"/>
        <scheme val="minor"/>
      </rPr>
      <t>m</t>
    </r>
    <r>
      <rPr>
        <sz val="13"/>
        <rFont val="Calibri"/>
        <family val="2"/>
        <scheme val="minor"/>
      </rPr>
      <t>+(F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M)/A =</t>
    </r>
  </si>
  <si>
    <r>
      <t>σ</t>
    </r>
    <r>
      <rPr>
        <vertAlign val="subscript"/>
        <sz val="13"/>
        <rFont val="Calibri"/>
        <family val="2"/>
        <scheme val="minor"/>
      </rPr>
      <t>F</t>
    </r>
    <r>
      <rPr>
        <sz val="13"/>
        <rFont val="Calibri"/>
        <family val="2"/>
        <scheme val="minor"/>
      </rPr>
      <t xml:space="preserve"> = 1.85</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/c^2 =</t>
    </r>
  </si>
  <si>
    <r>
      <t>δ</t>
    </r>
    <r>
      <rPr>
        <vertAlign val="subscript"/>
        <sz val="13"/>
        <rFont val="Calibri"/>
        <family val="2"/>
        <scheme val="minor"/>
      </rPr>
      <t>x</t>
    </r>
    <r>
      <rPr>
        <sz val="13"/>
        <rFont val="Calibri"/>
        <family val="2"/>
        <scheme val="minor"/>
      </rPr>
      <t xml:space="preserve"> = 0.7</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L</t>
    </r>
    <r>
      <rPr>
        <vertAlign val="superscript"/>
        <sz val="13"/>
        <rFont val="Calibri"/>
        <family val="2"/>
        <scheme val="minor"/>
      </rPr>
      <t>3</t>
    </r>
    <r>
      <rPr>
        <sz val="13"/>
        <rFont val="Calibri"/>
        <family val="2"/>
        <scheme val="minor"/>
      </rPr>
      <t>/(48</t>
    </r>
    <r>
      <rPr>
        <vertAlign val="subscript"/>
        <sz val="13"/>
        <rFont val="Calibri"/>
        <family val="2"/>
        <scheme val="minor"/>
      </rPr>
      <t>*</t>
    </r>
    <r>
      <rPr>
        <sz val="13"/>
        <rFont val="Calibri"/>
        <family val="2"/>
        <scheme val="minor"/>
      </rPr>
      <t>E</t>
    </r>
    <r>
      <rPr>
        <vertAlign val="subscript"/>
        <sz val="13"/>
        <rFont val="Calibri"/>
        <family val="2"/>
        <scheme val="minor"/>
      </rPr>
      <t>*</t>
    </r>
    <r>
      <rPr>
        <sz val="13"/>
        <rFont val="Calibri"/>
        <family val="2"/>
        <scheme val="minor"/>
      </rPr>
      <t>I</t>
    </r>
    <r>
      <rPr>
        <vertAlign val="subscript"/>
        <sz val="13"/>
        <rFont val="Calibri"/>
        <family val="2"/>
        <scheme val="minor"/>
      </rPr>
      <t>y</t>
    </r>
    <r>
      <rPr>
        <sz val="13"/>
        <rFont val="Calibri"/>
        <family val="2"/>
        <scheme val="minor"/>
      </rPr>
      <t>) =</t>
    </r>
  </si>
  <si>
    <r>
      <t>δ</t>
    </r>
    <r>
      <rPr>
        <vertAlign val="subscript"/>
        <sz val="13"/>
        <rFont val="Calibri"/>
        <family val="2"/>
        <scheme val="minor"/>
      </rPr>
      <t>y</t>
    </r>
    <r>
      <rPr>
        <sz val="13"/>
        <rFont val="Calibri"/>
        <family val="2"/>
        <scheme val="minor"/>
      </rPr>
      <t xml:space="preserve"> = 0.7</t>
    </r>
    <r>
      <rPr>
        <vertAlign val="subscript"/>
        <sz val="13"/>
        <rFont val="Calibri"/>
        <family val="2"/>
        <scheme val="minor"/>
      </rPr>
      <t>*</t>
    </r>
    <r>
      <rPr>
        <sz val="13"/>
        <rFont val="Calibri"/>
        <family val="2"/>
        <scheme val="minor"/>
      </rPr>
      <t>F</t>
    </r>
    <r>
      <rPr>
        <vertAlign val="subscript"/>
        <sz val="13"/>
        <rFont val="Calibri"/>
        <family val="2"/>
        <scheme val="minor"/>
      </rPr>
      <t>y</t>
    </r>
    <r>
      <rPr>
        <sz val="13"/>
        <rFont val="Calibri"/>
        <family val="2"/>
        <scheme val="minor"/>
      </rPr>
      <t>L</t>
    </r>
    <r>
      <rPr>
        <vertAlign val="superscript"/>
        <sz val="13"/>
        <rFont val="Calibri"/>
        <family val="2"/>
        <scheme val="minor"/>
      </rPr>
      <t>3</t>
    </r>
    <r>
      <rPr>
        <sz val="13"/>
        <rFont val="Calibri"/>
        <family val="2"/>
        <scheme val="minor"/>
      </rPr>
      <t>/(48</t>
    </r>
    <r>
      <rPr>
        <vertAlign val="subscript"/>
        <sz val="13"/>
        <rFont val="Calibri"/>
        <family val="2"/>
        <scheme val="minor"/>
      </rPr>
      <t>*</t>
    </r>
    <r>
      <rPr>
        <sz val="13"/>
        <rFont val="Calibri"/>
        <family val="2"/>
        <scheme val="minor"/>
      </rPr>
      <t>E</t>
    </r>
    <r>
      <rPr>
        <vertAlign val="subscript"/>
        <sz val="13"/>
        <rFont val="Calibri"/>
        <family val="2"/>
        <scheme val="minor"/>
      </rPr>
      <t>*</t>
    </r>
    <r>
      <rPr>
        <sz val="13"/>
        <rFont val="Calibri"/>
        <family val="2"/>
        <scheme val="minor"/>
      </rPr>
      <t>I</t>
    </r>
    <r>
      <rPr>
        <vertAlign val="subscript"/>
        <sz val="13"/>
        <rFont val="Calibri"/>
        <family val="2"/>
        <scheme val="minor"/>
      </rPr>
      <t>x</t>
    </r>
    <r>
      <rPr>
        <sz val="13"/>
        <rFont val="Calibri"/>
        <family val="2"/>
        <scheme val="minor"/>
      </rPr>
      <t>) =</t>
    </r>
  </si>
  <si>
    <r>
      <t>σ = σ</t>
    </r>
    <r>
      <rPr>
        <vertAlign val="subscript"/>
        <sz val="13"/>
        <rFont val="Calibri"/>
        <family val="2"/>
        <scheme val="minor"/>
      </rPr>
      <t>m</t>
    </r>
    <r>
      <rPr>
        <sz val="13"/>
        <rFont val="Calibri"/>
        <family val="2"/>
        <scheme val="minor"/>
      </rPr>
      <t>+(K</t>
    </r>
    <r>
      <rPr>
        <vertAlign val="subscript"/>
        <sz val="13"/>
        <rFont val="Calibri"/>
        <family val="2"/>
        <scheme val="minor"/>
      </rPr>
      <t>3*</t>
    </r>
    <r>
      <rPr>
        <sz val="13"/>
        <rFont val="Calibri"/>
        <family val="2"/>
        <scheme val="minor"/>
      </rPr>
      <t>M)/A =</t>
    </r>
  </si>
  <si>
    <r>
      <t>σ</t>
    </r>
    <r>
      <rPr>
        <vertAlign val="subscript"/>
        <sz val="13"/>
        <rFont val="Calibri"/>
        <family val="2"/>
        <scheme val="minor"/>
      </rPr>
      <t>F</t>
    </r>
    <r>
      <rPr>
        <sz val="13"/>
        <rFont val="Calibri"/>
        <family val="2"/>
        <scheme val="minor"/>
      </rPr>
      <t xml:space="preserve"> = 1.85</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/c</t>
    </r>
    <r>
      <rPr>
        <vertAlign val="superscript"/>
        <sz val="13"/>
        <rFont val="Calibri"/>
        <family val="2"/>
        <scheme val="minor"/>
      </rPr>
      <t>2</t>
    </r>
    <r>
      <rPr>
        <sz val="13"/>
        <rFont val="Calibri"/>
        <family val="2"/>
        <scheme val="minor"/>
      </rPr>
      <t xml:space="preserve"> =</t>
    </r>
  </si>
  <si>
    <r>
      <t>M</t>
    </r>
    <r>
      <rPr>
        <vertAlign val="subscript"/>
        <sz val="13"/>
        <rFont val="Calibri"/>
        <family val="2"/>
        <scheme val="minor"/>
      </rPr>
      <t>cwt</t>
    </r>
    <r>
      <rPr>
        <sz val="13"/>
        <rFont val="Calibri"/>
        <family val="2"/>
        <scheme val="minor"/>
      </rPr>
      <t xml:space="preserve"> = P+q.Q+M</t>
    </r>
    <r>
      <rPr>
        <vertAlign val="subscript"/>
        <sz val="13"/>
        <rFont val="Calibri"/>
        <family val="2"/>
        <scheme val="minor"/>
      </rPr>
      <t>Trav</t>
    </r>
    <r>
      <rPr>
        <sz val="13"/>
        <rFont val="Calibri"/>
        <family val="2"/>
        <scheme val="minor"/>
      </rPr>
      <t>/2 =</t>
    </r>
  </si>
  <si>
    <r>
      <t>e^(f</t>
    </r>
    <r>
      <rPr>
        <vertAlign val="subscript"/>
        <sz val="13"/>
        <rFont val="Calibri"/>
        <family val="2"/>
        <scheme val="minor"/>
      </rPr>
      <t>1*</t>
    </r>
    <r>
      <rPr>
        <sz val="13"/>
        <rFont val="Calibri"/>
        <family val="2"/>
        <scheme val="minor"/>
      </rPr>
      <t>α) =</t>
    </r>
  </si>
  <si>
    <r>
      <t>e^(f</t>
    </r>
    <r>
      <rPr>
        <vertAlign val="subscript"/>
        <sz val="13"/>
        <rFont val="Calibri"/>
        <family val="2"/>
        <scheme val="minor"/>
      </rPr>
      <t>2*</t>
    </r>
    <r>
      <rPr>
        <sz val="13"/>
        <rFont val="Calibri"/>
        <family val="2"/>
        <scheme val="minor"/>
      </rPr>
      <t>α) =</t>
    </r>
  </si>
  <si>
    <r>
      <t>e^(f</t>
    </r>
    <r>
      <rPr>
        <vertAlign val="subscript"/>
        <sz val="13"/>
        <rFont val="Calibri"/>
        <family val="2"/>
        <scheme val="minor"/>
      </rPr>
      <t>3*</t>
    </r>
    <r>
      <rPr>
        <sz val="13"/>
        <rFont val="Calibri"/>
        <family val="2"/>
        <scheme val="minor"/>
      </rPr>
      <t>α) =</t>
    </r>
  </si>
  <si>
    <r>
      <t>N</t>
    </r>
    <r>
      <rPr>
        <vertAlign val="subscript"/>
        <sz val="13"/>
        <rFont val="Calibri"/>
        <family val="2"/>
        <scheme val="minor"/>
      </rPr>
      <t xml:space="preserve">equiv(p) </t>
    </r>
    <r>
      <rPr>
        <sz val="13"/>
        <rFont val="Calibri"/>
        <family val="2"/>
        <scheme val="minor"/>
      </rPr>
      <t>= K</t>
    </r>
    <r>
      <rPr>
        <vertAlign val="subscript"/>
        <sz val="13"/>
        <rFont val="Calibri"/>
        <family val="2"/>
        <scheme val="minor"/>
      </rPr>
      <t>p</t>
    </r>
    <r>
      <rPr>
        <sz val="13"/>
        <rFont val="Calibri"/>
        <family val="2"/>
        <scheme val="minor"/>
      </rPr>
      <t xml:space="preserve"> </t>
    </r>
    <r>
      <rPr>
        <vertAlign val="subscript"/>
        <sz val="13"/>
        <rFont val="Calibri"/>
        <family val="2"/>
        <scheme val="minor"/>
      </rPr>
      <t>*</t>
    </r>
    <r>
      <rPr>
        <sz val="13"/>
        <rFont val="Calibri"/>
        <family val="2"/>
        <scheme val="minor"/>
      </rPr>
      <t xml:space="preserve"> (N</t>
    </r>
    <r>
      <rPr>
        <vertAlign val="subscript"/>
        <sz val="13"/>
        <rFont val="Calibri"/>
        <family val="2"/>
        <scheme val="minor"/>
      </rPr>
      <t>ps</t>
    </r>
    <r>
      <rPr>
        <sz val="13"/>
        <rFont val="Calibri"/>
        <family val="2"/>
        <scheme val="minor"/>
      </rPr>
      <t>+4</t>
    </r>
    <r>
      <rPr>
        <vertAlign val="subscript"/>
        <sz val="13"/>
        <rFont val="Calibri"/>
        <family val="2"/>
        <scheme val="minor"/>
      </rPr>
      <t>*</t>
    </r>
    <r>
      <rPr>
        <sz val="13"/>
        <rFont val="Calibri"/>
        <family val="2"/>
        <scheme val="minor"/>
      </rPr>
      <t>N</t>
    </r>
    <r>
      <rPr>
        <vertAlign val="subscript"/>
        <sz val="13"/>
        <rFont val="Calibri"/>
        <family val="2"/>
        <scheme val="minor"/>
      </rPr>
      <t>pr</t>
    </r>
    <r>
      <rPr>
        <sz val="13"/>
        <rFont val="Calibri"/>
        <family val="2"/>
        <scheme val="minor"/>
      </rPr>
      <t>) =</t>
    </r>
  </si>
  <si>
    <r>
      <t>F</t>
    </r>
    <r>
      <rPr>
        <vertAlign val="subscript"/>
        <sz val="13"/>
        <rFont val="Calibri"/>
        <family val="2"/>
        <scheme val="minor"/>
      </rPr>
      <t>1</t>
    </r>
    <r>
      <rPr>
        <sz val="13"/>
        <rFont val="Calibri"/>
        <family val="2"/>
        <scheme val="minor"/>
      </rPr>
      <t xml:space="preserve"> = 4</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(P+Q) =</t>
    </r>
  </si>
  <si>
    <r>
      <t>F</t>
    </r>
    <r>
      <rPr>
        <vertAlign val="subscript"/>
        <sz val="13"/>
        <rFont val="Calibri"/>
        <family val="2"/>
        <scheme val="minor"/>
      </rPr>
      <t>2</t>
    </r>
    <r>
      <rPr>
        <sz val="13"/>
        <rFont val="Calibri"/>
        <family val="2"/>
        <scheme val="minor"/>
      </rPr>
      <t xml:space="preserve"> = 4</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(P+q.Q) =</t>
    </r>
  </si>
  <si>
    <r>
      <t>F</t>
    </r>
    <r>
      <rPr>
        <vertAlign val="subscript"/>
        <sz val="13"/>
        <rFont val="Calibri"/>
        <family val="2"/>
        <scheme val="minor"/>
      </rPr>
      <t>3</t>
    </r>
    <r>
      <rPr>
        <sz val="13"/>
        <rFont val="Calibri"/>
        <family val="2"/>
        <scheme val="minor"/>
      </rPr>
      <t xml:space="preserve"> = </t>
    </r>
  </si>
  <si>
    <r>
      <t>F</t>
    </r>
    <r>
      <rPr>
        <vertAlign val="subscript"/>
        <sz val="13"/>
        <rFont val="Calibri"/>
        <family val="2"/>
        <scheme val="minor"/>
      </rPr>
      <t>4</t>
    </r>
    <r>
      <rPr>
        <sz val="13"/>
        <rFont val="Calibri"/>
        <family val="2"/>
        <scheme val="minor"/>
      </rPr>
      <t xml:space="preserve"> = H</t>
    </r>
    <r>
      <rPr>
        <vertAlign val="subscript"/>
        <sz val="13"/>
        <rFont val="Calibri"/>
        <family val="2"/>
        <scheme val="minor"/>
      </rPr>
      <t>*</t>
    </r>
    <r>
      <rPr>
        <sz val="13"/>
        <rFont val="Calibri"/>
        <family val="2"/>
        <scheme val="minor"/>
      </rPr>
      <t>W</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+F</t>
    </r>
    <r>
      <rPr>
        <vertAlign val="subscript"/>
        <sz val="13"/>
        <rFont val="Calibri"/>
        <family val="2"/>
        <scheme val="minor"/>
      </rPr>
      <t>k</t>
    </r>
    <r>
      <rPr>
        <sz val="13"/>
        <rFont val="Calibri"/>
        <family val="2"/>
        <scheme val="minor"/>
      </rPr>
      <t xml:space="preserve"> =</t>
    </r>
  </si>
  <si>
    <r>
      <t>η</t>
    </r>
    <r>
      <rPr>
        <vertAlign val="subscript"/>
        <sz val="13"/>
        <rFont val="Calibri"/>
        <family val="2"/>
        <scheme val="minor"/>
      </rPr>
      <t>S</t>
    </r>
    <r>
      <rPr>
        <sz val="13"/>
        <rFont val="Calibri"/>
        <family val="2"/>
        <scheme val="minor"/>
      </rPr>
      <t xml:space="preserve"> =</t>
    </r>
  </si>
  <si>
    <r>
      <t>η</t>
    </r>
    <r>
      <rPr>
        <vertAlign val="subscript"/>
        <sz val="13"/>
        <rFont val="Calibri"/>
        <family val="2"/>
        <scheme val="minor"/>
      </rPr>
      <t>P</t>
    </r>
    <r>
      <rPr>
        <sz val="13"/>
        <rFont val="Calibri"/>
        <family val="2"/>
        <scheme val="minor"/>
      </rPr>
      <t xml:space="preserve"> =</t>
    </r>
  </si>
  <si>
    <r>
      <t>q</t>
    </r>
    <r>
      <rPr>
        <vertAlign val="subscript"/>
        <sz val="13"/>
        <rFont val="Calibri"/>
        <family val="2"/>
        <scheme val="minor"/>
      </rPr>
      <t>m(max)</t>
    </r>
    <r>
      <rPr>
        <sz val="13"/>
        <rFont val="Calibri"/>
        <family val="2"/>
        <scheme val="minor"/>
      </rPr>
      <t>=</t>
    </r>
  </si>
  <si>
    <r>
      <t>W</t>
    </r>
    <r>
      <rPr>
        <vertAlign val="subscript"/>
        <sz val="13"/>
        <rFont val="Calibri"/>
        <family val="2"/>
        <scheme val="minor"/>
      </rPr>
      <t>mid</t>
    </r>
    <r>
      <rPr>
        <sz val="13"/>
        <rFont val="Calibri"/>
        <family val="2"/>
        <scheme val="minor"/>
      </rPr>
      <t xml:space="preserve"> =Q(1+|1-2q|).V</t>
    </r>
    <r>
      <rPr>
        <vertAlign val="subscript"/>
        <sz val="13"/>
        <rFont val="Calibri"/>
        <family val="2"/>
        <scheme val="minor"/>
      </rPr>
      <t>car</t>
    </r>
    <r>
      <rPr>
        <sz val="13"/>
        <rFont val="Calibri"/>
        <family val="2"/>
        <scheme val="minor"/>
      </rPr>
      <t>.g</t>
    </r>
    <r>
      <rPr>
        <vertAlign val="subscript"/>
        <sz val="13"/>
        <rFont val="Calibri"/>
        <family val="2"/>
        <scheme val="minor"/>
      </rPr>
      <t>n</t>
    </r>
    <r>
      <rPr>
        <sz val="13"/>
        <rFont val="Calibri"/>
        <family val="2"/>
        <scheme val="minor"/>
      </rPr>
      <t>/[2.η</t>
    </r>
    <r>
      <rPr>
        <vertAlign val="subscript"/>
        <sz val="13"/>
        <rFont val="Calibri"/>
        <family val="2"/>
        <scheme val="minor"/>
      </rPr>
      <t>g</t>
    </r>
    <r>
      <rPr>
        <sz val="13"/>
        <rFont val="Calibri"/>
        <family val="2"/>
        <scheme val="minor"/>
      </rPr>
      <t>.η</t>
    </r>
    <r>
      <rPr>
        <vertAlign val="subscript"/>
        <sz val="13"/>
        <rFont val="Calibri"/>
        <family val="2"/>
        <scheme val="minor"/>
      </rPr>
      <t>S</t>
    </r>
    <r>
      <rPr>
        <sz val="13"/>
        <rFont val="Calibri"/>
        <family val="2"/>
        <scheme val="minor"/>
      </rPr>
      <t>.η</t>
    </r>
    <r>
      <rPr>
        <vertAlign val="subscript"/>
        <sz val="13"/>
        <rFont val="Calibri"/>
        <family val="2"/>
        <scheme val="minor"/>
      </rPr>
      <t>P</t>
    </r>
    <r>
      <rPr>
        <sz val="13"/>
        <rFont val="Calibri"/>
        <family val="2"/>
        <scheme val="minor"/>
      </rPr>
      <t>] =</t>
    </r>
  </si>
  <si>
    <r>
      <t>W</t>
    </r>
    <r>
      <rPr>
        <vertAlign val="subscript"/>
        <sz val="13"/>
        <rFont val="Calibri"/>
        <family val="2"/>
        <scheme val="minor"/>
      </rPr>
      <t>max</t>
    </r>
    <r>
      <rPr>
        <sz val="13"/>
        <rFont val="Calibri"/>
        <family val="2"/>
        <scheme val="minor"/>
      </rPr>
      <t xml:space="preserve"> = (q</t>
    </r>
    <r>
      <rPr>
        <vertAlign val="subscript"/>
        <sz val="13"/>
        <rFont val="Calibri"/>
        <family val="2"/>
        <scheme val="minor"/>
      </rPr>
      <t>m(max)*</t>
    </r>
    <r>
      <rPr>
        <sz val="13"/>
        <rFont val="Calibri"/>
        <family val="2"/>
        <scheme val="minor"/>
      </rPr>
      <t>V</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)/[η</t>
    </r>
    <r>
      <rPr>
        <vertAlign val="subscript"/>
        <sz val="13"/>
        <rFont val="Calibri"/>
        <family val="2"/>
        <scheme val="minor"/>
      </rPr>
      <t>g*</t>
    </r>
    <r>
      <rPr>
        <sz val="13"/>
        <rFont val="Calibri"/>
        <family val="2"/>
        <scheme val="minor"/>
      </rPr>
      <t>η</t>
    </r>
    <r>
      <rPr>
        <vertAlign val="subscript"/>
        <sz val="13"/>
        <rFont val="Calibri"/>
        <family val="2"/>
        <scheme val="minor"/>
      </rPr>
      <t>S</t>
    </r>
    <r>
      <rPr>
        <sz val="13"/>
        <rFont val="Calibri"/>
        <family val="2"/>
        <scheme val="minor"/>
      </rPr>
      <t>] =</t>
    </r>
  </si>
  <si>
    <r>
      <t>A</t>
    </r>
    <r>
      <rPr>
        <vertAlign val="subscript"/>
        <sz val="13"/>
        <rFont val="Calibri"/>
        <family val="2"/>
        <scheme val="minor"/>
      </rPr>
      <t>total</t>
    </r>
    <r>
      <rPr>
        <sz val="13"/>
        <rFont val="Calibri"/>
        <family val="2"/>
        <scheme val="minor"/>
      </rPr>
      <t xml:space="preserve"> =</t>
    </r>
  </si>
  <si>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ω/A =</t>
    </r>
  </si>
  <si>
    <r>
      <t>C</t>
    </r>
    <r>
      <rPr>
        <vertAlign val="subscript"/>
        <sz val="13"/>
        <rFont val="Calibri"/>
        <family val="2"/>
        <scheme val="minor"/>
      </rPr>
      <t>1</t>
    </r>
    <r>
      <rPr>
        <sz val="13"/>
        <rFont val="Calibri"/>
        <family val="2"/>
        <scheme val="minor"/>
      </rPr>
      <t xml:space="preserve"> =</t>
    </r>
  </si>
  <si>
    <r>
      <t>C</t>
    </r>
    <r>
      <rPr>
        <vertAlign val="subscript"/>
        <sz val="13"/>
        <rFont val="Calibri"/>
        <family val="2"/>
        <scheme val="minor"/>
      </rPr>
      <t>2</t>
    </r>
    <r>
      <rPr>
        <sz val="13"/>
        <rFont val="Calibri"/>
        <family val="2"/>
        <scheme val="minor"/>
      </rPr>
      <t xml:space="preserve"> =</t>
    </r>
  </si>
  <si>
    <r>
      <t>e^(f</t>
    </r>
    <r>
      <rPr>
        <vertAlign val="subscript"/>
        <sz val="13"/>
        <rFont val="Calibri"/>
        <family val="2"/>
        <scheme val="minor"/>
      </rPr>
      <t>*</t>
    </r>
    <r>
      <rPr>
        <sz val="13"/>
        <rFont val="Calibri"/>
        <family val="2"/>
        <scheme val="minor"/>
      </rPr>
      <t>α) =</t>
    </r>
  </si>
  <si>
    <r>
      <t>T</t>
    </r>
    <r>
      <rPr>
        <vertAlign val="subscript"/>
        <sz val="13"/>
        <rFont val="Calibri"/>
        <family val="2"/>
        <scheme val="minor"/>
      </rPr>
      <t>1</t>
    </r>
    <r>
      <rPr>
        <sz val="13"/>
        <rFont val="Calibri"/>
        <family val="2"/>
        <scheme val="minor"/>
      </rPr>
      <t>/T</t>
    </r>
    <r>
      <rPr>
        <vertAlign val="subscript"/>
        <sz val="13"/>
        <rFont val="Calibri"/>
        <family val="2"/>
        <scheme val="minor"/>
      </rPr>
      <t>2</t>
    </r>
    <r>
      <rPr>
        <sz val="13"/>
        <rFont val="Calibri"/>
        <family val="2"/>
        <scheme val="minor"/>
      </rPr>
      <t xml:space="preserve"> *C</t>
    </r>
    <r>
      <rPr>
        <vertAlign val="subscript"/>
        <sz val="13"/>
        <rFont val="Calibri"/>
        <family val="2"/>
        <scheme val="minor"/>
      </rPr>
      <t>1</t>
    </r>
    <r>
      <rPr>
        <sz val="13"/>
        <rFont val="Calibri"/>
        <family val="2"/>
        <scheme val="minor"/>
      </rPr>
      <t xml:space="preserve"> *C</t>
    </r>
    <r>
      <rPr>
        <vertAlign val="subscript"/>
        <sz val="13"/>
        <rFont val="Calibri"/>
        <family val="2"/>
        <scheme val="minor"/>
      </rPr>
      <t>2</t>
    </r>
    <r>
      <rPr>
        <sz val="13"/>
        <rFont val="Calibri"/>
        <family val="2"/>
        <scheme val="minor"/>
      </rPr>
      <t>=</t>
    </r>
  </si>
  <si>
    <r>
      <t>P</t>
    </r>
    <r>
      <rPr>
        <vertAlign val="subscript"/>
        <sz val="13"/>
        <rFont val="Calibri"/>
        <family val="2"/>
        <scheme val="minor"/>
      </rPr>
      <t>max</t>
    </r>
    <r>
      <rPr>
        <sz val="13"/>
        <rFont val="Calibri"/>
        <family val="2"/>
        <scheme val="minor"/>
      </rPr>
      <t xml:space="preserve"> = (12.5+4*Vc)/(1+Vc) =</t>
    </r>
  </si>
  <si>
    <r>
      <t>M</t>
    </r>
    <r>
      <rPr>
        <vertAlign val="subscript"/>
        <sz val="13"/>
        <rFont val="Calibri"/>
        <family val="2"/>
        <scheme val="minor"/>
      </rPr>
      <t>Cwt</t>
    </r>
    <r>
      <rPr>
        <sz val="13"/>
        <rFont val="Calibri"/>
        <family val="2"/>
        <scheme val="minor"/>
      </rPr>
      <t xml:space="preserve"> = P+q</t>
    </r>
    <r>
      <rPr>
        <vertAlign val="subscript"/>
        <sz val="13"/>
        <rFont val="Calibri"/>
        <family val="2"/>
        <scheme val="minor"/>
      </rPr>
      <t>*</t>
    </r>
    <r>
      <rPr>
        <sz val="13"/>
        <rFont val="Calibri"/>
        <family val="2"/>
        <scheme val="minor"/>
      </rPr>
      <t>Q+M</t>
    </r>
    <r>
      <rPr>
        <vertAlign val="subscript"/>
        <sz val="13"/>
        <rFont val="Calibri"/>
        <family val="2"/>
        <scheme val="minor"/>
      </rPr>
      <t>Trav</t>
    </r>
    <r>
      <rPr>
        <sz val="13"/>
        <rFont val="Calibri"/>
        <family val="2"/>
        <scheme val="minor"/>
      </rPr>
      <t>/2 =</t>
    </r>
  </si>
  <si>
    <r>
      <t>W</t>
    </r>
    <r>
      <rPr>
        <vertAlign val="subscript"/>
        <sz val="13"/>
        <rFont val="Calibri"/>
        <family val="2"/>
        <scheme val="minor"/>
      </rPr>
      <t>max</t>
    </r>
    <r>
      <rPr>
        <sz val="13"/>
        <rFont val="Calibri"/>
        <family val="2"/>
        <scheme val="minor"/>
      </rPr>
      <t xml:space="preserve"> = (q</t>
    </r>
    <r>
      <rPr>
        <vertAlign val="subscript"/>
        <sz val="13"/>
        <rFont val="Calibri"/>
        <family val="2"/>
        <scheme val="minor"/>
      </rPr>
      <t>m(max)</t>
    </r>
    <r>
      <rPr>
        <sz val="13"/>
        <rFont val="Calibri"/>
        <family val="2"/>
        <scheme val="minor"/>
      </rPr>
      <t>.V</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)/[η</t>
    </r>
    <r>
      <rPr>
        <vertAlign val="subscript"/>
        <sz val="13"/>
        <rFont val="Calibri"/>
        <family val="2"/>
        <scheme val="minor"/>
      </rPr>
      <t>g</t>
    </r>
    <r>
      <rPr>
        <sz val="13"/>
        <rFont val="Calibri"/>
        <family val="2"/>
        <scheme val="minor"/>
      </rPr>
      <t>.η</t>
    </r>
    <r>
      <rPr>
        <vertAlign val="subscript"/>
        <sz val="13"/>
        <rFont val="Calibri"/>
        <family val="2"/>
        <scheme val="minor"/>
      </rPr>
      <t>SP</t>
    </r>
    <r>
      <rPr>
        <sz val="13"/>
        <rFont val="Calibri"/>
        <family val="2"/>
        <scheme val="minor"/>
      </rPr>
      <t>] =</t>
    </r>
  </si>
  <si>
    <r>
      <t>M</t>
    </r>
    <r>
      <rPr>
        <vertAlign val="subscript"/>
        <sz val="13"/>
        <rFont val="Calibri"/>
        <family val="2"/>
        <scheme val="minor"/>
      </rPr>
      <t>CR</t>
    </r>
    <r>
      <rPr>
        <sz val="13"/>
        <rFont val="Calibri"/>
        <family val="2"/>
        <scheme val="minor"/>
      </rPr>
      <t xml:space="preserve"> =</t>
    </r>
  </si>
  <si>
    <t>بیشترین فاصله بین دو براکت</t>
  </si>
  <si>
    <t>نیرو در ریل ناشی از بار تجهیزات جانبی</t>
  </si>
  <si>
    <t>زاویه شیار فلکه کشش</t>
  </si>
  <si>
    <t>زاویه زیر برش فلکه کشش</t>
  </si>
  <si>
    <t>سخت کاری شیار</t>
  </si>
  <si>
    <t xml:space="preserve">جرم کاهش‌یافته فلکه‌ی کشش طناب جبران </t>
  </si>
  <si>
    <t>قطر فلكه فاصله انداز (تکی مطابق شکل روبرو)</t>
  </si>
  <si>
    <t>U</t>
  </si>
  <si>
    <t>Wittur/SG8</t>
  </si>
  <si>
    <t>سرعت عملکرد مکانیکی (m/s):</t>
  </si>
  <si>
    <t>شماره سریال:</t>
  </si>
  <si>
    <t>نام تولید کننده:</t>
  </si>
  <si>
    <t>علامت تجاری:</t>
  </si>
  <si>
    <t>حداکثر فاصله بین تکیه گاههای ریل(براکت)کابین(cm):</t>
  </si>
  <si>
    <t>گاورنر سرعت</t>
  </si>
  <si>
    <t>ضخامت تیغه mm:</t>
  </si>
  <si>
    <t>اندازه ریل راهنمای وزنه mm:</t>
  </si>
  <si>
    <t xml:space="preserve"> ضخامت تیغه mm:</t>
  </si>
  <si>
    <t>اندازه ریل راهنمای کابین mm:</t>
  </si>
  <si>
    <t>نوع روغنکاری:</t>
  </si>
  <si>
    <t>وزن قاب وزنه(kg):</t>
  </si>
  <si>
    <t>نوع(روش ساخت):</t>
  </si>
  <si>
    <t>وزن هر عدد(kg):</t>
  </si>
  <si>
    <t>تولید کننده:</t>
  </si>
  <si>
    <t>ابعاد وزنه:</t>
  </si>
  <si>
    <t>ریل های راهنما</t>
  </si>
  <si>
    <t>تعداد وزنه:</t>
  </si>
  <si>
    <t>اندازه ناودانی:</t>
  </si>
  <si>
    <t>موقعیت نصب در کابین :</t>
  </si>
  <si>
    <t>ارتفاع مفید درب کابین(cm):</t>
  </si>
  <si>
    <t xml:space="preserve">ابعاد قاب وزنه(ارتفاع×طول)(cm) </t>
  </si>
  <si>
    <t>پهنای مفید درب کابین(cm):</t>
  </si>
  <si>
    <t>وزنه تعادل</t>
  </si>
  <si>
    <t>وزن(gr/m):</t>
  </si>
  <si>
    <t>نوع درب کابین:</t>
  </si>
  <si>
    <t>بافت:</t>
  </si>
  <si>
    <t>وزن تقریبی(kg):</t>
  </si>
  <si>
    <t>قطر(mm):</t>
  </si>
  <si>
    <t>نوع پاراشوت:</t>
  </si>
  <si>
    <t>ارتفاع(cm):</t>
  </si>
  <si>
    <t>تعداد:</t>
  </si>
  <si>
    <t>عمق(cm):</t>
  </si>
  <si>
    <t>تولیدکننده:</t>
  </si>
  <si>
    <t>عرض(cm):</t>
  </si>
  <si>
    <t>طنابهای فولادی</t>
  </si>
  <si>
    <t xml:space="preserve"> ترمز ایمنی(پاراشوت) </t>
  </si>
  <si>
    <t xml:space="preserve"> کابین(اتاقک) </t>
  </si>
  <si>
    <t>تعداد :</t>
  </si>
  <si>
    <t>قطر(cm):</t>
  </si>
  <si>
    <t>نوع ترمز:</t>
  </si>
  <si>
    <t>جنس:</t>
  </si>
  <si>
    <t>هرزگرد</t>
  </si>
  <si>
    <t>شماره های سریال:</t>
  </si>
  <si>
    <t>طول لنت:</t>
  </si>
  <si>
    <t>ظرفیت (kg):</t>
  </si>
  <si>
    <t>جنس لنت:</t>
  </si>
  <si>
    <t>سرعت دور کند موتور (rpm):</t>
  </si>
  <si>
    <t>جنس کفشک:</t>
  </si>
  <si>
    <t>نوع:</t>
  </si>
  <si>
    <t>سازنده:</t>
  </si>
  <si>
    <t>نام تولید کننده یا علامت تجاری:</t>
  </si>
  <si>
    <t>ولتاژ نامی (V):</t>
  </si>
  <si>
    <t>ضربه گیر وزنه</t>
  </si>
  <si>
    <t xml:space="preserve">وزنه </t>
  </si>
  <si>
    <t>توان نامی:</t>
  </si>
  <si>
    <t>زیر برش:</t>
  </si>
  <si>
    <t>استارت در ساعت:</t>
  </si>
  <si>
    <t>نوع شیار:</t>
  </si>
  <si>
    <t>تعداد شیار:</t>
  </si>
  <si>
    <t>ضربه گیر کابین</t>
  </si>
  <si>
    <t>کابین</t>
  </si>
  <si>
    <t>کشش</t>
  </si>
  <si>
    <t>سیستم محرکه</t>
  </si>
  <si>
    <t>ضربه گیرهای ته چاه</t>
  </si>
  <si>
    <t>کفشک های راهنما</t>
  </si>
  <si>
    <t>فلکه ها</t>
  </si>
  <si>
    <t>اندازه رشته ها:</t>
  </si>
  <si>
    <t>قفل مکانیکی درب:</t>
  </si>
  <si>
    <t>تعداد رشته ها:</t>
  </si>
  <si>
    <t>شماره سریال تابلو فرمان:</t>
  </si>
  <si>
    <t>ارتفاع مفید درب(cm):</t>
  </si>
  <si>
    <t>سرعت تند (نامی) (m/s):</t>
  </si>
  <si>
    <t>نوع :</t>
  </si>
  <si>
    <t>نوع تابلو فرمان:</t>
  </si>
  <si>
    <t>پهنای درب (cm):</t>
  </si>
  <si>
    <t>سرعت کند (m/s):</t>
  </si>
  <si>
    <t>نوع سیستم:</t>
  </si>
  <si>
    <t>نوع درب:</t>
  </si>
  <si>
    <t>طول حرکت:</t>
  </si>
  <si>
    <t>تراولینگ کابل</t>
  </si>
  <si>
    <t>سیستم تابلو فرمان</t>
  </si>
  <si>
    <t>درب طبقات</t>
  </si>
  <si>
    <t>مشخصات آسانسور</t>
  </si>
  <si>
    <t>چدنی</t>
  </si>
  <si>
    <t>:α (زاویه پیچش طناب فولادی)</t>
  </si>
  <si>
    <t>:β (زاویه شیار)</t>
  </si>
  <si>
    <t>:γ (زاویه شیار)</t>
  </si>
  <si>
    <t>تولیدکننده موتور/گیربکس (درصورت وجود):</t>
  </si>
  <si>
    <t>نسبت تبدیل گیربکس (درصورت وجود):</t>
  </si>
  <si>
    <t>سازنده گیربکس (درصورت وجود):</t>
  </si>
  <si>
    <t>نوع گیربکس (درصورت وجود):</t>
  </si>
  <si>
    <t>سرعت دور تند موتور (rpm):</t>
  </si>
  <si>
    <t>جریان نامی (A):</t>
  </si>
  <si>
    <t>ظرفیت (kg)(P+Q):</t>
  </si>
  <si>
    <t>سرعت درگیری (m/s):</t>
  </si>
  <si>
    <t>توضیحات (در صورتیکه قطر فلکه ها یکسان نیست)</t>
  </si>
  <si>
    <t>وزن کل (قاب وزنه و وزنه ها)(kg):</t>
  </si>
  <si>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.M)*ω/A =</t>
    </r>
  </si>
  <si>
    <t>نیروی وارد بر کف چاهک، زیر تکیه‌گاه ضربه‌گیر کابین</t>
  </si>
  <si>
    <t>نیروی وارد بر کف چاهک، زیر تکیه‌گاه ضربه‌گیر وزنه</t>
  </si>
  <si>
    <t>نیروی وارد بر کف چاهک، زیر هر ریل کابین</t>
  </si>
  <si>
    <t>نیروی وارد بر کف چاهک، زیر ضربه‌گیر کابین</t>
  </si>
  <si>
    <t>نیروی وارد بر کف چاهک، زیر ضربه‌گیر وزنه</t>
  </si>
  <si>
    <r>
      <t>M</t>
    </r>
    <r>
      <rPr>
        <vertAlign val="subscript"/>
        <sz val="13"/>
        <rFont val="Calibri"/>
        <family val="2"/>
        <scheme val="minor"/>
      </rPr>
      <t>aux</t>
    </r>
    <r>
      <rPr>
        <sz val="13"/>
        <rFont val="Calibri"/>
        <family val="2"/>
        <scheme val="minor"/>
      </rPr>
      <t xml:space="preserve"> =</t>
    </r>
  </si>
  <si>
    <r>
      <t>σ = σ</t>
    </r>
    <r>
      <rPr>
        <vertAlign val="subscript"/>
        <sz val="13"/>
        <rFont val="Calibri"/>
        <family val="2"/>
        <scheme val="minor"/>
      </rPr>
      <t>m</t>
    </r>
    <r>
      <rPr>
        <sz val="13"/>
        <rFont val="Calibri"/>
        <family val="2"/>
        <scheme val="minor"/>
      </rPr>
      <t>+(F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aux</t>
    </r>
    <r>
      <rPr>
        <sz val="13"/>
        <rFont val="Calibri"/>
        <family val="2"/>
        <scheme val="minor"/>
      </rPr>
      <t>)/A =</t>
    </r>
  </si>
  <si>
    <r>
      <t>σ = σ</t>
    </r>
    <r>
      <rPr>
        <vertAlign val="subscript"/>
        <sz val="13"/>
        <rFont val="Calibri"/>
        <family val="2"/>
        <scheme val="minor"/>
      </rPr>
      <t>m</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aux</t>
    </r>
    <r>
      <rPr>
        <sz val="13"/>
        <rFont val="Calibri"/>
        <family val="2"/>
        <scheme val="minor"/>
      </rPr>
      <t>)/A =</t>
    </r>
  </si>
  <si>
    <r>
      <t>m</t>
    </r>
    <r>
      <rPr>
        <vertAlign val="subscript"/>
        <sz val="13"/>
        <rFont val="Calibri"/>
        <family val="2"/>
        <scheme val="minor"/>
      </rPr>
      <t>g</t>
    </r>
    <r>
      <rPr>
        <sz val="13"/>
        <rFont val="Calibri"/>
        <family val="2"/>
        <scheme val="minor"/>
      </rPr>
      <t xml:space="preserve"> =</t>
    </r>
  </si>
  <si>
    <r>
      <t>F</t>
    </r>
    <r>
      <rPr>
        <vertAlign val="subscript"/>
        <sz val="14"/>
        <rFont val="Calibri"/>
        <family val="2"/>
        <scheme val="minor"/>
      </rPr>
      <t>4</t>
    </r>
    <r>
      <rPr>
        <sz val="14"/>
        <rFont val="Calibri"/>
        <family val="2"/>
        <scheme val="minor"/>
      </rPr>
      <t xml:space="preserve"> = H*m</t>
    </r>
    <r>
      <rPr>
        <vertAlign val="subscript"/>
        <sz val="14"/>
        <rFont val="Calibri"/>
        <family val="2"/>
        <scheme val="minor"/>
      </rPr>
      <t>g</t>
    </r>
    <r>
      <rPr>
        <sz val="14"/>
        <rFont val="Calibri"/>
        <family val="2"/>
        <scheme val="minor"/>
      </rPr>
      <t>*g</t>
    </r>
    <r>
      <rPr>
        <vertAlign val="subscript"/>
        <sz val="14"/>
        <rFont val="Calibri"/>
        <family val="2"/>
        <scheme val="minor"/>
      </rPr>
      <t>n</t>
    </r>
    <r>
      <rPr>
        <sz val="14"/>
        <rFont val="Calibri"/>
        <family val="2"/>
        <scheme val="minor"/>
      </rPr>
      <t>+F</t>
    </r>
    <r>
      <rPr>
        <vertAlign val="subscript"/>
        <sz val="14"/>
        <rFont val="Calibri"/>
        <family val="2"/>
        <scheme val="minor"/>
      </rPr>
      <t>k</t>
    </r>
    <r>
      <rPr>
        <sz val="14"/>
        <rFont val="Calibri"/>
        <family val="2"/>
        <scheme val="minor"/>
      </rPr>
      <t>+k</t>
    </r>
    <r>
      <rPr>
        <vertAlign val="subscript"/>
        <sz val="14"/>
        <rFont val="Calibri"/>
        <family val="2"/>
        <scheme val="minor"/>
      </rPr>
      <t>3</t>
    </r>
    <r>
      <rPr>
        <sz val="14"/>
        <rFont val="Calibri"/>
        <family val="2"/>
        <scheme val="minor"/>
      </rPr>
      <t>*M</t>
    </r>
    <r>
      <rPr>
        <vertAlign val="subscript"/>
        <sz val="14"/>
        <rFont val="Calibri"/>
        <family val="2"/>
        <scheme val="minor"/>
      </rPr>
      <t>aux</t>
    </r>
    <r>
      <rPr>
        <sz val="14"/>
        <rFont val="Calibri"/>
        <family val="2"/>
        <scheme val="minor"/>
      </rPr>
      <t>=</t>
    </r>
  </si>
  <si>
    <t>1A3</t>
  </si>
  <si>
    <t>9089</t>
  </si>
  <si>
    <t>مسافری</t>
  </si>
  <si>
    <t>223</t>
  </si>
  <si>
    <t>آراد پایا کیفیت آریا</t>
  </si>
</sst>
</file>

<file path=xl/styles.xml><?xml version="1.0" encoding="utf-8"?>
<styleSheet xmlns="http://purl.oclc.org/ooxml/spreadsheetml/main" xmlns:mc="http://schemas.openxmlformats.org/markup-compatibility/2006" xmlns:x14ac="http://schemas.microsoft.com/office/spreadsheetml/2009/9/ac" mc:Ignorable="x14ac">
  <numFmts count="36">
    <numFmt numFmtId="43" formatCode="_(* #,##0.00_);_(* \(#,##0.00\);_(* &quot;-&quot;??_);_(@_)"/>
    <numFmt numFmtId="164" formatCode="#,##0.0"/>
    <numFmt numFmtId="165" formatCode="&quot;Ok&quot;;[Red]\(&quot;Not. Ok&quot;\)"/>
    <numFmt numFmtId="166" formatCode="&quot;≤5mm,&lt;- OK-&gt;&quot;;[Red]\(&quot;&gt;5mm,&lt;-ERROR-&gt;&quot;\)"/>
    <numFmt numFmtId="167" formatCode="#,##0.000"/>
    <numFmt numFmtId="168" formatCode="_(* #,##0_);_(* \(#,##0\);_(* &quot;-&quot;??_);_(@_)"/>
    <numFmt numFmtId="169" formatCode="0.0"/>
    <numFmt numFmtId="170" formatCode="0.000"/>
    <numFmt numFmtId="171" formatCode="###0;###0"/>
    <numFmt numFmtId="172" formatCode="#,##0;#,##0"/>
    <numFmt numFmtId="173" formatCode="#,##0.0;#,##0.0"/>
    <numFmt numFmtId="174" formatCode="&quot;≤e^f*a,&lt;- OK-&gt;&quot;;[Red]&quot;&gt;e^f*α, &lt;-ERROR-&gt;&quot;"/>
    <numFmt numFmtId="175" formatCode="&quot;≤e^f*a  &lt;- OK-&gt;&quot;;[Red]&quot;&gt;e^f*α  &lt;-ERROR-&gt;&quot;"/>
    <numFmt numFmtId="176" formatCode="&quot;&gt;e^f*a  &lt;- OK-&gt;&quot;;[Red]&quot;≤e^f*α  &lt;-ERROR-&gt;&quot;"/>
    <numFmt numFmtId="177" formatCode="&quot;&lt;- OK-&gt;   Atotal ≤ Amax =&quot;;[Red]&quot;&lt;-ERROR-&gt;  Atotal &gt; Amax =&quot;"/>
    <numFmt numFmtId="178" formatCode="&quot;&lt;- OK-&gt;   Atotal ≥  Amin =&quot;;[Red]&quot;&lt;-ERROR-&gt;  Atotal &lt; Amin =&quot;"/>
    <numFmt numFmtId="179" formatCode="&quot;&lt;- OK-&gt;   Sf_min ≤ Sf_cur =&quot;;[Red]&quot;&lt;-ERROR-&gt;  Sf_min &gt; Sf_cur =&quot;"/>
    <numFmt numFmtId="180" formatCode="#\°"/>
    <numFmt numFmtId="181" formatCode="#,##0.000;#,##0.000"/>
    <numFmt numFmtId="182" formatCode="###0.0;###0.0"/>
    <numFmt numFmtId="183" formatCode="0.0000"/>
    <numFmt numFmtId="184" formatCode="&quot;≤165(σperm), &lt;- OK-&gt;&quot;;[Red]\(&quot;&gt;165(σperm), &lt;-ERROR-&gt;&quot;\)"/>
    <numFmt numFmtId="185" formatCode="&quot;≤205 (σperm), &lt;- OK-&gt;&quot;;[Red]\(&quot;&gt;205 (σperm), &lt;-ERROR-&gt;&quot;\)"/>
    <numFmt numFmtId="186" formatCode="0\°"/>
    <numFmt numFmtId="187" formatCode="&quot;&lt;- OK-&gt;   Sf_min ≤ Sf_cur =&quot;;[Red]&quot;&lt;-Warning-&gt;  Sf_min &gt; Sf_cur =&quot;"/>
    <numFmt numFmtId="188" formatCode="&quot;&lt;- OK-&gt;    Sf_cur &gt; Sf_min =&quot;;[Red]&quot;&lt;-ERROR-&gt; Sf_cur &gt; Sf_min  =&quot;"/>
    <numFmt numFmtId="189" formatCode="_(* #,##0.0_);_(* \(#,##0.0\);_(* &quot;-&quot;??_);_(@_)"/>
    <numFmt numFmtId="190" formatCode="&quot;≤5mm, &lt;- OK-&gt;&quot;;[Red]\(&quot;&gt;5mm, &lt;-ERROR-&gt;&quot;\)"/>
    <numFmt numFmtId="191" formatCode="&quot;≤205 (σperm) &lt;- OK-&gt;&quot;;[Red]\(&quot;&gt;205 (σperm) &lt;-ERROR-&gt;&quot;\)"/>
    <numFmt numFmtId="192" formatCode="&quot;≤165 (σperm) &lt;- OK-&gt;&quot;;[Red]\(&quot;&gt;165 (σperm) &lt;-ERROR-&gt;&quot;\)"/>
    <numFmt numFmtId="193" formatCode="&quot;≤5mm &lt;- OK-&gt;&quot;;[Red]\(&quot;&gt;5mm &lt;-ERROR-&gt;&quot;\)"/>
    <numFmt numFmtId="194" formatCode="&quot;≤140 (σperm) &lt;- OK-&gt;&quot;;[Red]\(&quot;&gt;140 (σperm) &lt;-ERROR-&gt;&quot;\)"/>
    <numFmt numFmtId="195" formatCode="0.00000000000"/>
    <numFmt numFmtId="196" formatCode="&quot;&lt;- OK-&gt;    P ≤ Pmax &quot;;[Red]&quot;&lt;-ERROR-&gt; P &gt; Pmax  &quot;"/>
    <numFmt numFmtId="197" formatCode="0.0%"/>
    <numFmt numFmtId="198" formatCode="&quot;≥e^f*a  &lt;- OK-&gt;&quot;;[Red]&quot;&lt;e^f*α  &lt;-ERROR-&gt;&quot;"/>
  </numFmts>
  <fonts count="87">
    <font>
      <sz val="14"/>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name val="Tahoma"/>
      <family val="2"/>
    </font>
    <font>
      <b/>
      <sz val="12"/>
      <name val="Arial"/>
      <family val="2"/>
    </font>
    <font>
      <sz val="13"/>
      <name val="Tahoma"/>
      <family val="2"/>
    </font>
    <font>
      <b/>
      <sz val="14"/>
      <name val="Arial"/>
      <family val="2"/>
    </font>
    <font>
      <sz val="12"/>
      <name val="Times New Roman"/>
      <family val="1"/>
    </font>
    <font>
      <b/>
      <sz val="14"/>
      <name val="Tahoma"/>
      <family val="2"/>
    </font>
    <font>
      <vertAlign val="subscript"/>
      <sz val="10"/>
      <name val="Arial"/>
      <family val="2"/>
    </font>
    <font>
      <sz val="9"/>
      <color indexed="9"/>
      <name val="Arial"/>
      <family val="1"/>
      <charset val="204"/>
    </font>
    <font>
      <b/>
      <sz val="11"/>
      <color theme="1"/>
      <name val="Arial"/>
      <family val="2"/>
    </font>
    <font>
      <sz val="12"/>
      <color theme="1"/>
      <name val="Calibri"/>
      <family val="2"/>
      <scheme val="minor"/>
    </font>
    <font>
      <sz val="12"/>
      <name val="Calibri"/>
      <family val="2"/>
      <scheme val="minor"/>
    </font>
    <font>
      <sz val="10"/>
      <name val="Tahoma"/>
      <family val="2"/>
    </font>
    <font>
      <sz val="14"/>
      <name val="Tahoma"/>
      <family val="2"/>
    </font>
    <font>
      <sz val="14"/>
      <color theme="1"/>
      <name val="Calibri"/>
      <family val="2"/>
      <scheme val="minor"/>
    </font>
    <font>
      <sz val="11"/>
      <name val="Tahoma"/>
      <family val="2"/>
    </font>
    <font>
      <sz val="14"/>
      <color rgb="FF00B050"/>
      <name val="Calibri"/>
      <family val="2"/>
      <scheme val="minor"/>
    </font>
    <font>
      <sz val="14"/>
      <color theme="1"/>
      <name val="0 Shiraz"/>
      <charset val="178"/>
    </font>
    <font>
      <b/>
      <sz val="12"/>
      <color theme="1"/>
      <name val="Tahoma"/>
      <family val="2"/>
    </font>
    <font>
      <sz val="14"/>
      <color theme="1"/>
      <name val="Tahoma"/>
      <family val="2"/>
    </font>
    <font>
      <sz val="10"/>
      <name val="Times New Roman"/>
      <family val="1"/>
      <charset val="204"/>
    </font>
    <font>
      <sz val="14"/>
      <name val="Calibri"/>
      <family val="2"/>
      <scheme val="minor"/>
    </font>
    <font>
      <vertAlign val="subscript"/>
      <sz val="14"/>
      <name val="Calibri"/>
      <family val="2"/>
      <scheme val="minor"/>
    </font>
    <font>
      <sz val="13"/>
      <name val="Calibri"/>
      <family val="2"/>
      <scheme val="minor"/>
    </font>
    <font>
      <vertAlign val="subscript"/>
      <sz val="13"/>
      <name val="Calibri"/>
      <family val="2"/>
      <scheme val="minor"/>
    </font>
    <font>
      <vertAlign val="superscript"/>
      <sz val="12"/>
      <name val="Tahoma"/>
      <family val="2"/>
    </font>
    <font>
      <vertAlign val="superscript"/>
      <sz val="13"/>
      <color indexed="8"/>
      <name val="Calibri"/>
      <family val="2"/>
      <scheme val="minor"/>
    </font>
    <font>
      <sz val="13"/>
      <color indexed="8"/>
      <name val="Calibri"/>
      <family val="2"/>
      <scheme val="minor"/>
    </font>
    <font>
      <vertAlign val="subscript"/>
      <sz val="13"/>
      <color indexed="8"/>
      <name val="Calibri"/>
      <family val="2"/>
      <scheme val="minor"/>
    </font>
    <font>
      <vertAlign val="subscript"/>
      <sz val="12"/>
      <name val="Tahoma"/>
      <family val="2"/>
    </font>
    <font>
      <vertAlign val="superscript"/>
      <sz val="13"/>
      <name val="Calibri"/>
      <family val="2"/>
      <scheme val="minor"/>
    </font>
    <font>
      <b/>
      <sz val="12"/>
      <color indexed="8"/>
      <name val="Arial"/>
      <family val="1"/>
      <charset val="204"/>
    </font>
    <font>
      <b/>
      <sz val="12"/>
      <color indexed="8"/>
      <name val="Arial"/>
      <family val="2"/>
    </font>
    <font>
      <b/>
      <i/>
      <sz val="12"/>
      <color indexed="8"/>
      <name val="Arial"/>
      <family val="2"/>
    </font>
    <font>
      <b/>
      <sz val="12"/>
      <color indexed="8"/>
      <name val="Times New Roman"/>
      <family val="1"/>
      <charset val="204"/>
    </font>
    <font>
      <b/>
      <sz val="14"/>
      <name val="Calibri"/>
      <family val="2"/>
      <scheme val="minor"/>
    </font>
    <font>
      <b/>
      <vertAlign val="subscript"/>
      <sz val="14"/>
      <name val="Calibri"/>
      <family val="2"/>
      <scheme val="minor"/>
    </font>
    <font>
      <sz val="10"/>
      <color indexed="8"/>
      <name val="Arial"/>
      <family val="1"/>
      <charset val="204"/>
    </font>
    <font>
      <b/>
      <sz val="13"/>
      <color indexed="8"/>
      <name val="Arial"/>
      <family val="2"/>
    </font>
    <font>
      <b/>
      <i/>
      <sz val="13"/>
      <color indexed="8"/>
      <name val="Arial"/>
      <family val="2"/>
    </font>
    <font>
      <sz val="9"/>
      <color theme="1"/>
      <name val="Tahoma"/>
      <family val="2"/>
    </font>
    <font>
      <sz val="8"/>
      <name val="Tahoma"/>
      <family val="2"/>
    </font>
    <font>
      <sz val="9"/>
      <color theme="1"/>
      <name val="Calibri"/>
      <family val="2"/>
      <scheme val="minor"/>
    </font>
    <font>
      <b/>
      <sz val="10"/>
      <color theme="1"/>
      <name val="Calibri"/>
      <family val="2"/>
      <scheme val="minor"/>
    </font>
    <font>
      <b/>
      <sz val="10"/>
      <color theme="1"/>
      <name val="Tahoma"/>
      <family val="2"/>
    </font>
    <font>
      <b/>
      <sz val="11"/>
      <color theme="1"/>
      <name val="Calibri"/>
      <family val="2"/>
      <scheme val="minor"/>
    </font>
    <font>
      <sz val="9"/>
      <name val="Tahoma"/>
      <family val="2"/>
    </font>
    <font>
      <b/>
      <sz val="14"/>
      <color theme="1"/>
      <name val="Tahoma"/>
      <family val="2"/>
    </font>
    <font>
      <sz val="10"/>
      <color theme="3"/>
      <name val="Tahoma"/>
      <family val="2"/>
    </font>
    <font>
      <sz val="12"/>
      <color theme="1"/>
      <name val="Tahoma"/>
      <family val="2"/>
    </font>
    <font>
      <sz val="10"/>
      <color theme="1"/>
      <name val="Calibri"/>
      <family val="2"/>
      <scheme val="minor"/>
    </font>
    <font>
      <vertAlign val="subscript"/>
      <sz val="12"/>
      <name val="Calibri"/>
      <family val="2"/>
      <scheme val="minor"/>
    </font>
    <font>
      <b/>
      <sz val="9"/>
      <name val="Arial"/>
      <family val="2"/>
    </font>
    <font>
      <sz val="10"/>
      <color indexed="8"/>
      <name val="Arial"/>
      <family val="2"/>
    </font>
    <font>
      <sz val="10"/>
      <color indexed="9"/>
      <name val="Arial"/>
      <family val="2"/>
    </font>
    <font>
      <sz val="10"/>
      <color theme="1"/>
      <name val="Tahoma"/>
      <family val="2"/>
    </font>
    <font>
      <i/>
      <sz val="12"/>
      <name val="Calibri"/>
      <family val="2"/>
      <scheme val="minor"/>
    </font>
    <font>
      <b/>
      <sz val="11"/>
      <name val="Tahoma"/>
      <family val="2"/>
    </font>
    <font>
      <vertAlign val="superscript"/>
      <sz val="10"/>
      <color theme="1"/>
      <name val="Tahoma"/>
      <family val="2"/>
    </font>
    <font>
      <b/>
      <sz val="11"/>
      <color theme="1"/>
      <name val="Tahoma"/>
      <family val="2"/>
    </font>
    <font>
      <b/>
      <vertAlign val="subscript"/>
      <sz val="10"/>
      <color theme="1"/>
      <name val="Tahoma"/>
      <family val="2"/>
    </font>
    <font>
      <sz val="11"/>
      <color indexed="8"/>
      <name val="Tahoma"/>
      <family val="2"/>
    </font>
    <font>
      <sz val="12"/>
      <color theme="2"/>
      <name val="Tahoma"/>
      <family val="2"/>
    </font>
    <font>
      <sz val="12"/>
      <color theme="1"/>
      <name val="Calibri"/>
      <family val="2"/>
    </font>
    <font>
      <sz val="10"/>
      <color rgb="FF333333"/>
      <name val="Tahoma"/>
      <family val="2"/>
    </font>
    <font>
      <sz val="12"/>
      <color theme="1"/>
      <name val="CRANBERRYCOOLERfont"/>
    </font>
    <font>
      <sz val="10"/>
      <color theme="0"/>
      <name val="Arial"/>
      <family val="2"/>
    </font>
    <font>
      <b/>
      <sz val="14"/>
      <color theme="0"/>
      <name val="Arial"/>
      <family val="2"/>
    </font>
    <font>
      <sz val="12"/>
      <color theme="4" tint="0.79998168889431442"/>
      <name val="Tahoma"/>
      <family val="2"/>
    </font>
    <font>
      <sz val="12"/>
      <color theme="0"/>
      <name val="Tahoma"/>
      <family val="2"/>
    </font>
    <font>
      <i/>
      <vertAlign val="subscript"/>
      <sz val="12"/>
      <name val="Calibri"/>
      <family val="2"/>
      <scheme val="minor"/>
    </font>
    <font>
      <i/>
      <vertAlign val="superscript"/>
      <sz val="12"/>
      <name val="Calibri"/>
      <family val="2"/>
      <scheme val="minor"/>
    </font>
    <font>
      <sz val="12"/>
      <name val="Arial"/>
      <family val="2"/>
    </font>
    <font>
      <sz val="12"/>
      <color theme="1"/>
      <name val="Arial"/>
      <family val="2"/>
    </font>
    <font>
      <i/>
      <sz val="13"/>
      <name val="Calibri"/>
      <family val="2"/>
      <scheme val="minor"/>
    </font>
    <font>
      <sz val="13"/>
      <color theme="1"/>
      <name val="Calibri"/>
      <family val="2"/>
      <scheme val="minor"/>
    </font>
    <font>
      <sz val="11"/>
      <color theme="1"/>
      <name val="Calibri"/>
      <family val="2"/>
      <scheme val="minor"/>
    </font>
    <font>
      <sz val="10"/>
      <color theme="8" tint="-0.499984740745262"/>
      <name val="Tahoma"/>
      <family val="2"/>
    </font>
    <font>
      <b/>
      <sz val="10"/>
      <name val="Tahoma"/>
      <family val="2"/>
    </font>
    <font>
      <sz val="12"/>
      <color rgb="FF000000"/>
      <name val="Tahoma"/>
    </font>
    <font>
      <sz val="12"/>
      <color rgb="FFEEECE1"/>
      <name val="Tahoma"/>
    </font>
    <font>
      <sz val="8"/>
      <color rgb="FF000000"/>
      <name val="Tahoma"/>
    </font>
  </fonts>
  <fills count="16">
    <fill>
      <patternFill patternType="none"/>
    </fill>
    <fill>
      <patternFill patternType="gray125"/>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bgColor indexed="64"/>
      </patternFill>
    </fill>
    <fill>
      <patternFill patternType="solid">
        <fgColor rgb="FF007F00"/>
        <bgColor indexed="64"/>
      </patternFill>
    </fill>
    <fill>
      <patternFill patternType="solid">
        <fgColor rgb="FFFFFFFF"/>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59999389629810485"/>
        <bgColor indexed="64"/>
      </patternFill>
    </fill>
    <fill>
      <patternFill patternType="solid">
        <fgColor theme="5" tint="0.59999389629810485"/>
        <bgColor indexed="64"/>
      </patternFill>
    </fill>
  </fills>
  <borders count="94">
    <border>
      <start/>
      <end/>
      <top/>
      <bottom/>
      <diagonal/>
    </border>
    <border>
      <start style="medium">
        <color indexed="64"/>
      </start>
      <end/>
      <top style="medium">
        <color indexed="64"/>
      </top>
      <bottom/>
      <diagonal/>
    </border>
    <border>
      <start/>
      <end/>
      <top style="medium">
        <color indexed="64"/>
      </top>
      <bottom/>
      <diagonal/>
    </border>
    <border>
      <start style="medium">
        <color indexed="64"/>
      </start>
      <end/>
      <top/>
      <bottom/>
      <diagonal/>
    </border>
    <border>
      <start/>
      <end style="medium">
        <color indexed="64"/>
      </end>
      <top style="medium">
        <color indexed="64"/>
      </top>
      <bottom/>
      <diagonal/>
    </border>
    <border>
      <start/>
      <end style="medium">
        <color indexed="64"/>
      </end>
      <top/>
      <bottom/>
      <diagonal/>
    </border>
    <border>
      <start style="medium">
        <color indexed="64"/>
      </start>
      <end/>
      <top/>
      <bottom style="medium">
        <color indexed="64"/>
      </bottom>
      <diagonal/>
    </border>
    <border>
      <start/>
      <end/>
      <top/>
      <bottom style="medium">
        <color indexed="64"/>
      </bottom>
      <diagonal/>
    </border>
    <border>
      <start/>
      <end style="medium">
        <color indexed="64"/>
      </end>
      <top/>
      <bottom style="medium">
        <color indexed="64"/>
      </bottom>
      <diagonal/>
    </border>
    <border>
      <start style="medium">
        <color indexed="64"/>
      </start>
      <end style="medium">
        <color indexed="64"/>
      </end>
      <top/>
      <bottom style="medium">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diagonal/>
    </border>
    <border>
      <start style="thin">
        <color indexed="64"/>
      </start>
      <end style="thin">
        <color indexed="64"/>
      </end>
      <top style="thin">
        <color indexed="64"/>
      </top>
      <bottom/>
      <diagonal/>
    </border>
    <border>
      <start style="thin">
        <color indexed="64"/>
      </start>
      <end/>
      <top style="thin">
        <color indexed="64"/>
      </top>
      <bottom/>
      <diagonal/>
    </border>
    <border>
      <start style="thin">
        <color indexed="64"/>
      </start>
      <end style="medium">
        <color indexed="64"/>
      </end>
      <top style="thin">
        <color indexed="64"/>
      </top>
      <bottom/>
      <diagonal/>
    </border>
    <border>
      <start style="thin">
        <color indexed="64"/>
      </start>
      <end style="thin">
        <color indexed="64"/>
      </end>
      <top style="medium">
        <color indexed="64"/>
      </top>
      <bottom style="thin">
        <color indexed="64"/>
      </bottom>
      <diagonal/>
    </border>
    <border>
      <start style="thin">
        <color indexed="64"/>
      </start>
      <end/>
      <top style="medium">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thin">
        <color indexed="64"/>
      </end>
      <top style="thin">
        <color indexed="64"/>
      </top>
      <bottom style="medium">
        <color indexed="64"/>
      </bottom>
      <diagonal/>
    </border>
    <border>
      <start style="thin">
        <color indexed="64"/>
      </start>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bottom style="thin">
        <color indexed="64"/>
      </bottom>
      <diagonal/>
    </border>
    <border>
      <start style="thin">
        <color indexed="64"/>
      </start>
      <end style="thin">
        <color indexed="64"/>
      </end>
      <top/>
      <bottom style="thin">
        <color indexed="64"/>
      </bottom>
      <diagonal/>
    </border>
    <border>
      <start style="thin">
        <color indexed="64"/>
      </start>
      <end style="medium">
        <color indexed="64"/>
      </end>
      <top/>
      <bottom style="thin">
        <color indexed="64"/>
      </bottom>
      <diagonal/>
    </border>
    <border>
      <start style="medium">
        <color indexed="64"/>
      </start>
      <end style="medium">
        <color indexed="64"/>
      </end>
      <top style="medium">
        <color indexed="64"/>
      </top>
      <bottom/>
      <diagonal/>
    </border>
    <border>
      <start style="medium">
        <color indexed="64"/>
      </start>
      <end style="medium">
        <color indexed="64"/>
      </end>
      <top/>
      <bottom/>
      <diagonal/>
    </border>
    <border>
      <start style="medium">
        <color indexed="64"/>
      </start>
      <end/>
      <top style="medium">
        <color indexed="64"/>
      </top>
      <bottom style="medium">
        <color indexed="64"/>
      </bottom>
      <diagonal/>
    </border>
    <border>
      <start/>
      <end/>
      <top style="medium">
        <color indexed="64"/>
      </top>
      <bottom style="medium">
        <color indexed="64"/>
      </bottom>
      <diagonal/>
    </border>
    <border>
      <start/>
      <end style="medium">
        <color indexed="64"/>
      </end>
      <top style="medium">
        <color indexed="64"/>
      </top>
      <bottom style="medium">
        <color indexed="64"/>
      </bottom>
      <diagonal/>
    </border>
    <border>
      <start style="medium">
        <color indexed="64"/>
      </start>
      <end style="thin">
        <color indexed="64"/>
      </end>
      <top style="medium">
        <color indexed="64"/>
      </top>
      <bottom style="medium">
        <color indexed="64"/>
      </bottom>
      <diagonal/>
    </border>
    <border>
      <start style="thin">
        <color indexed="64"/>
      </start>
      <end style="thin">
        <color indexed="64"/>
      </end>
      <top style="medium">
        <color indexed="64"/>
      </top>
      <bottom style="medium">
        <color indexed="64"/>
      </bottom>
      <diagonal/>
    </border>
    <border>
      <start style="thin">
        <color indexed="64"/>
      </start>
      <end style="medium">
        <color indexed="64"/>
      </end>
      <top style="medium">
        <color indexed="64"/>
      </top>
      <bottom style="medium">
        <color indexed="64"/>
      </bottom>
      <diagonal/>
    </border>
    <border>
      <start/>
      <end/>
      <top/>
      <bottom style="thin">
        <color indexed="64"/>
      </bottom>
      <diagonal/>
    </border>
    <border>
      <start/>
      <end style="thin">
        <color indexed="64"/>
      </end>
      <top style="thin">
        <color indexed="64"/>
      </top>
      <bottom style="thin">
        <color indexed="64"/>
      </bottom>
      <diagonal/>
    </border>
    <border>
      <start style="medium">
        <color indexed="64"/>
      </start>
      <end/>
      <top style="thin">
        <color indexed="64"/>
      </top>
      <bottom/>
      <diagonal/>
    </border>
    <border>
      <start/>
      <end/>
      <top style="thin">
        <color indexed="64"/>
      </top>
      <bottom/>
      <diagonal/>
    </border>
    <border>
      <start/>
      <end style="medium">
        <color indexed="64"/>
      </end>
      <top style="thin">
        <color indexed="64"/>
      </top>
      <bottom/>
      <diagonal/>
    </border>
    <border>
      <start/>
      <end/>
      <top style="thin">
        <color indexed="64"/>
      </top>
      <bottom style="thin">
        <color indexed="64"/>
      </bottom>
      <diagonal/>
    </border>
    <border>
      <start/>
      <end style="thin">
        <color indexed="64"/>
      </end>
      <top style="thin">
        <color indexed="64"/>
      </top>
      <bottom/>
      <diagonal/>
    </border>
    <border>
      <start/>
      <end style="thin">
        <color indexed="64"/>
      </end>
      <top/>
      <bottom style="thin">
        <color indexed="64"/>
      </bottom>
      <diagonal/>
    </border>
    <border>
      <start style="thin">
        <color indexed="64"/>
      </start>
      <end/>
      <top/>
      <bottom style="thin">
        <color indexed="64"/>
      </bottom>
      <diagonal/>
    </border>
    <border>
      <start style="thin">
        <color rgb="FF000000"/>
      </start>
      <end/>
      <top style="thin">
        <color rgb="FF000000"/>
      </top>
      <bottom style="thin">
        <color rgb="FF000000"/>
      </bottom>
      <diagonal/>
    </border>
    <border>
      <start style="thin">
        <color rgb="FF000000"/>
      </start>
      <end/>
      <top style="thin">
        <color rgb="FF000000"/>
      </top>
      <bottom/>
      <diagonal/>
    </border>
    <border>
      <start style="thin">
        <color indexed="64"/>
      </start>
      <end/>
      <top/>
      <bottom/>
      <diagonal/>
    </border>
    <border>
      <start/>
      <end style="thin">
        <color indexed="64"/>
      </end>
      <top/>
      <bottom/>
      <diagonal/>
    </border>
    <border>
      <start style="medium">
        <color indexed="64"/>
      </start>
      <end style="thin">
        <color rgb="FF000000"/>
      </end>
      <top style="medium">
        <color indexed="64"/>
      </top>
      <bottom/>
      <diagonal/>
    </border>
    <border>
      <start style="thin">
        <color rgb="FF000000"/>
      </start>
      <end style="thin">
        <color rgb="FF000000"/>
      </end>
      <top style="medium">
        <color indexed="64"/>
      </top>
      <bottom style="thin">
        <color rgb="FF000000"/>
      </bottom>
      <diagonal/>
    </border>
    <border>
      <start style="thin">
        <color rgb="FF000000"/>
      </start>
      <end style="medium">
        <color indexed="64"/>
      </end>
      <top style="medium">
        <color indexed="64"/>
      </top>
      <bottom style="thin">
        <color rgb="FF000000"/>
      </bottom>
      <diagonal/>
    </border>
    <border>
      <start style="medium">
        <color indexed="64"/>
      </start>
      <end style="thin">
        <color rgb="FF000000"/>
      </end>
      <top/>
      <bottom style="medium">
        <color indexed="64"/>
      </bottom>
      <diagonal/>
    </border>
    <border>
      <start style="thin">
        <color rgb="FF000000"/>
      </start>
      <end style="thin">
        <color rgb="FF000000"/>
      </end>
      <top style="thin">
        <color rgb="FF000000"/>
      </top>
      <bottom style="medium">
        <color indexed="64"/>
      </bottom>
      <diagonal/>
    </border>
    <border>
      <start style="thin">
        <color rgb="FF000000"/>
      </start>
      <end style="medium">
        <color indexed="64"/>
      </end>
      <top style="thin">
        <color rgb="FF000000"/>
      </top>
      <bottom style="medium">
        <color indexed="64"/>
      </bottom>
      <diagonal/>
    </border>
    <border>
      <start style="medium">
        <color indexed="64"/>
      </start>
      <end/>
      <top/>
      <bottom style="thin">
        <color indexed="64"/>
      </bottom>
      <diagonal/>
    </border>
    <border>
      <start/>
      <end style="medium">
        <color indexed="64"/>
      </end>
      <top/>
      <bottom style="thin">
        <color indexed="64"/>
      </bottom>
      <diagonal/>
    </border>
    <border>
      <start style="thin">
        <color indexed="64"/>
      </start>
      <end style="thin">
        <color indexed="64"/>
      </end>
      <top/>
      <bottom/>
      <diagonal/>
    </border>
    <border>
      <start/>
      <end style="thin">
        <color indexed="64"/>
      </end>
      <top style="medium">
        <color indexed="64"/>
      </top>
      <bottom style="thin">
        <color indexed="64"/>
      </bottom>
      <diagonal/>
    </border>
    <border>
      <start/>
      <end style="thin">
        <color indexed="64"/>
      </end>
      <top style="thin">
        <color indexed="64"/>
      </top>
      <bottom style="medium">
        <color indexed="64"/>
      </bottom>
      <diagonal/>
    </border>
    <border>
      <start/>
      <end/>
      <top style="medium">
        <color indexed="64"/>
      </top>
      <bottom style="thin">
        <color indexed="64"/>
      </bottom>
      <diagonal/>
    </border>
    <border>
      <start/>
      <end style="medium">
        <color indexed="64"/>
      </end>
      <top style="medium">
        <color indexed="64"/>
      </top>
      <bottom style="thin">
        <color indexed="64"/>
      </bottom>
      <diagonal/>
    </border>
    <border>
      <start/>
      <end style="medium">
        <color indexed="64"/>
      </end>
      <top style="thin">
        <color indexed="64"/>
      </top>
      <bottom style="thin">
        <color indexed="64"/>
      </bottom>
      <diagonal/>
    </border>
    <border>
      <start style="thin">
        <color rgb="FF000000"/>
      </start>
      <end/>
      <top/>
      <bottom style="thin">
        <color rgb="FF000000"/>
      </bottom>
      <diagonal/>
    </border>
    <border>
      <start style="thin">
        <color indexed="64"/>
      </start>
      <end/>
      <top/>
      <bottom style="medium">
        <color indexed="64"/>
      </bottom>
      <diagonal/>
    </border>
    <border>
      <start/>
      <end style="thin">
        <color indexed="64"/>
      </end>
      <top/>
      <bottom style="medium">
        <color indexed="64"/>
      </bottom>
      <diagonal/>
    </border>
    <border>
      <start style="medium">
        <color indexed="64"/>
      </start>
      <end/>
      <top style="medium">
        <color indexed="64"/>
      </top>
      <bottom style="thin">
        <color indexed="64"/>
      </bottom>
      <diagonal/>
    </border>
    <border>
      <start style="thin">
        <color indexed="64"/>
      </start>
      <end/>
      <top style="medium">
        <color indexed="64"/>
      </top>
      <bottom style="medium">
        <color indexed="64"/>
      </bottom>
      <diagonal/>
    </border>
    <border>
      <start style="medium">
        <color indexed="64"/>
      </start>
      <end style="medium">
        <color indexed="64"/>
      </end>
      <top style="medium">
        <color indexed="64"/>
      </top>
      <bottom style="medium">
        <color indexed="64"/>
      </bottom>
      <diagonal/>
    </border>
    <border>
      <start style="medium">
        <color indexed="64"/>
      </start>
      <end style="thin">
        <color theme="0" tint="-0.14996795556505021"/>
      </end>
      <top style="medium">
        <color indexed="64"/>
      </top>
      <bottom style="thin">
        <color theme="0" tint="-0.14996795556505021"/>
      </bottom>
      <diagonal/>
    </border>
    <border>
      <start style="thin">
        <color theme="0" tint="-0.14996795556505021"/>
      </start>
      <end style="thin">
        <color theme="0" tint="-0.14996795556505021"/>
      </end>
      <top style="medium">
        <color indexed="64"/>
      </top>
      <bottom style="thin">
        <color theme="0" tint="-0.14996795556505021"/>
      </bottom>
      <diagonal/>
    </border>
    <border>
      <start style="thin">
        <color theme="0" tint="-0.14996795556505021"/>
      </start>
      <end style="medium">
        <color indexed="64"/>
      </end>
      <top style="medium">
        <color indexed="64"/>
      </top>
      <bottom style="thin">
        <color theme="0" tint="-0.14996795556505021"/>
      </bottom>
      <diagonal/>
    </border>
    <border>
      <start style="medium">
        <color indexed="64"/>
      </start>
      <end style="thin">
        <color theme="0" tint="-0.14996795556505021"/>
      </end>
      <top style="thin">
        <color theme="0" tint="-0.14996795556505021"/>
      </top>
      <bottom style="thin">
        <color theme="0" tint="-0.14996795556505021"/>
      </bottom>
      <diagonal/>
    </border>
    <border>
      <start style="thin">
        <color theme="0" tint="-0.14996795556505021"/>
      </start>
      <end style="thin">
        <color theme="0" tint="-0.14996795556505021"/>
      </end>
      <top style="thin">
        <color theme="0" tint="-0.14996795556505021"/>
      </top>
      <bottom style="thin">
        <color theme="0" tint="-0.14996795556505021"/>
      </bottom>
      <diagonal/>
    </border>
    <border>
      <start style="thin">
        <color theme="0" tint="-0.14996795556505021"/>
      </start>
      <end style="medium">
        <color indexed="64"/>
      </end>
      <top style="thin">
        <color theme="0" tint="-0.14996795556505021"/>
      </top>
      <bottom style="thin">
        <color theme="0" tint="-0.14996795556505021"/>
      </bottom>
      <diagonal/>
    </border>
    <border>
      <start style="medium">
        <color indexed="64"/>
      </start>
      <end style="thin">
        <color theme="0" tint="-0.14996795556505021"/>
      </end>
      <top style="thin">
        <color theme="0" tint="-0.14996795556505021"/>
      </top>
      <bottom style="medium">
        <color indexed="64"/>
      </bottom>
      <diagonal/>
    </border>
    <border>
      <start style="thin">
        <color theme="0" tint="-0.14996795556505021"/>
      </start>
      <end style="thin">
        <color theme="0" tint="-0.14996795556505021"/>
      </end>
      <top style="thin">
        <color theme="0" tint="-0.14996795556505021"/>
      </top>
      <bottom style="medium">
        <color indexed="64"/>
      </bottom>
      <diagonal/>
    </border>
    <border>
      <start style="thin">
        <color theme="0" tint="-0.14996795556505021"/>
      </start>
      <end style="medium">
        <color indexed="64"/>
      </end>
      <top style="thin">
        <color theme="0" tint="-0.14996795556505021"/>
      </top>
      <bottom style="medium">
        <color indexed="64"/>
      </bottom>
      <diagonal/>
    </border>
    <border>
      <start style="medium">
        <color indexed="64"/>
      </start>
      <end/>
      <top style="thin">
        <color theme="0" tint="-0.14996795556505021"/>
      </top>
      <bottom style="thin">
        <color theme="0" tint="-0.14996795556505021"/>
      </bottom>
      <diagonal/>
    </border>
    <border>
      <start/>
      <end/>
      <top style="thin">
        <color theme="0" tint="-0.14996795556505021"/>
      </top>
      <bottom style="thin">
        <color theme="0" tint="-0.14996795556505021"/>
      </bottom>
      <diagonal/>
    </border>
    <border>
      <start style="thin">
        <color theme="0" tint="-0.14993743705557422"/>
      </start>
      <end/>
      <top style="thin">
        <color theme="0" tint="-0.14996795556505021"/>
      </top>
      <bottom style="thin">
        <color theme="0" tint="-0.14996795556505021"/>
      </bottom>
      <diagonal/>
    </border>
    <border>
      <start/>
      <end style="medium">
        <color indexed="64"/>
      </end>
      <top style="thin">
        <color theme="0" tint="-0.14996795556505021"/>
      </top>
      <bottom style="thin">
        <color theme="0" tint="-0.14996795556505021"/>
      </bottom>
      <diagonal/>
    </border>
    <border>
      <start style="medium">
        <color indexed="64"/>
      </start>
      <end style="thin">
        <color theme="0" tint="-0.14993743705557422"/>
      </end>
      <top style="thin">
        <color theme="0" tint="-0.14996795556505021"/>
      </top>
      <bottom/>
      <diagonal/>
    </border>
    <border>
      <start style="medium">
        <color indexed="64"/>
      </start>
      <end style="thin">
        <color theme="0" tint="-0.14993743705557422"/>
      </end>
      <top/>
      <bottom style="medium">
        <color indexed="64"/>
      </bottom>
      <diagonal/>
    </border>
    <border>
      <start style="thin">
        <color theme="0" tint="-0.14993743705557422"/>
      </start>
      <end/>
      <top style="thin">
        <color theme="0" tint="-0.14996795556505021"/>
      </top>
      <bottom/>
      <diagonal/>
    </border>
    <border>
      <start/>
      <end/>
      <top style="thin">
        <color theme="0" tint="-0.14996795556505021"/>
      </top>
      <bottom/>
      <diagonal/>
    </border>
    <border>
      <start/>
      <end style="medium">
        <color indexed="64"/>
      </end>
      <top style="thin">
        <color theme="0" tint="-0.14996795556505021"/>
      </top>
      <bottom/>
      <diagonal/>
    </border>
    <border>
      <start style="thin">
        <color theme="0" tint="-0.14993743705557422"/>
      </start>
      <end/>
      <top/>
      <bottom style="medium">
        <color indexed="64"/>
      </bottom>
      <diagonal/>
    </border>
    <border>
      <start style="medium">
        <color indexed="64"/>
      </start>
      <end style="thin">
        <color theme="0" tint="-0.14993743705557422"/>
      </end>
      <top/>
      <bottom/>
      <diagonal/>
    </border>
    <border>
      <start style="thin">
        <color theme="0" tint="-0.14993743705557422"/>
      </start>
      <end/>
      <top/>
      <bottom/>
      <diagonal/>
    </border>
    <border>
      <start style="thin">
        <color rgb="FF002060"/>
      </start>
      <end style="thin">
        <color rgb="FF002060"/>
      </end>
      <top style="thin">
        <color rgb="FF002060"/>
      </top>
      <bottom style="thin">
        <color rgb="FF002060"/>
      </bottom>
      <diagonal/>
    </border>
    <border>
      <start style="thin">
        <color rgb="FF002060"/>
      </start>
      <end style="thin">
        <color rgb="FF002060"/>
      </end>
      <top style="thin">
        <color rgb="FF002060"/>
      </top>
      <bottom/>
      <diagonal/>
    </border>
    <border>
      <start style="thin">
        <color rgb="FF002060"/>
      </start>
      <end style="thin">
        <color rgb="FF002060"/>
      </end>
      <top/>
      <bottom style="thin">
        <color rgb="FF002060"/>
      </bottom>
      <diagonal/>
    </border>
  </borders>
  <cellStyleXfs count="7">
    <xf numFmtId="0" fontId="0"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81" fillId="0" borderId="0"/>
  </cellStyleXfs>
  <cellXfs count="882">
    <xf numFmtId="0" fontId="0" fillId="0" borderId="0" xfId="0"/>
    <xf numFmtId="0" fontId="6" fillId="0" borderId="0" xfId="2" applyFont="1" applyBorder="1" applyAlignment="1" applyProtection="1">
      <alignment horizontal="left" vertical="center" indent="1"/>
    </xf>
    <xf numFmtId="0" fontId="5" fillId="0" borderId="0" xfId="2" applyAlignment="1" applyProtection="1">
      <alignment horizontal="center" vertical="center"/>
    </xf>
    <xf numFmtId="0" fontId="5" fillId="0" borderId="0" xfId="2" applyAlignment="1" applyProtection="1">
      <alignment vertical="center"/>
    </xf>
    <xf numFmtId="0" fontId="6" fillId="0" borderId="3" xfId="2" applyFont="1" applyBorder="1" applyAlignment="1" applyProtection="1">
      <alignment horizontal="right" vertical="center" indent="1"/>
    </xf>
    <xf numFmtId="0" fontId="6" fillId="0" borderId="0" xfId="2" applyFont="1" applyBorder="1" applyAlignment="1" applyProtection="1">
      <alignment vertical="center"/>
    </xf>
    <xf numFmtId="0" fontId="6" fillId="0" borderId="6" xfId="2" applyFont="1" applyBorder="1" applyAlignment="1" applyProtection="1">
      <alignment horizontal="right" vertical="center" indent="1"/>
    </xf>
    <xf numFmtId="0" fontId="6" fillId="0" borderId="7" xfId="2" applyFont="1" applyBorder="1" applyAlignment="1" applyProtection="1">
      <alignment horizontal="left" vertical="center" indent="1"/>
    </xf>
    <xf numFmtId="0" fontId="6" fillId="0" borderId="0" xfId="2" applyFont="1" applyBorder="1" applyAlignment="1" applyProtection="1">
      <alignment horizontal="right" vertical="center" indent="1"/>
    </xf>
    <xf numFmtId="0" fontId="5" fillId="0" borderId="0" xfId="2" applyAlignment="1" applyProtection="1">
      <alignment horizontal="right" vertical="center" indent="1"/>
      <protection locked="0"/>
    </xf>
    <xf numFmtId="0" fontId="6" fillId="0" borderId="9" xfId="2" applyFont="1" applyBorder="1" applyAlignment="1" applyProtection="1">
      <alignment vertical="center" textRotation="90"/>
    </xf>
    <xf numFmtId="0" fontId="5" fillId="0" borderId="0" xfId="2" applyFont="1" applyAlignment="1" applyProtection="1">
      <alignment vertical="center"/>
    </xf>
    <xf numFmtId="3" fontId="6" fillId="0" borderId="0" xfId="2" applyNumberFormat="1" applyFont="1" applyBorder="1" applyAlignment="1" applyProtection="1">
      <alignment horizontal="right" vertical="center" indent="1"/>
    </xf>
    <xf numFmtId="4" fontId="6" fillId="0" borderId="0" xfId="2" applyNumberFormat="1" applyFont="1" applyBorder="1" applyAlignment="1" applyProtection="1">
      <alignment horizontal="left" vertical="center" indent="1"/>
    </xf>
    <xf numFmtId="0" fontId="6" fillId="2" borderId="3" xfId="2" applyFont="1" applyFill="1" applyBorder="1" applyAlignment="1" applyProtection="1">
      <alignment horizontal="right" vertical="center" indent="1"/>
    </xf>
    <xf numFmtId="167" fontId="6" fillId="0" borderId="0" xfId="1" applyNumberFormat="1" applyFont="1" applyBorder="1" applyAlignment="1" applyProtection="1">
      <alignment horizontal="right" vertical="center" indent="1"/>
    </xf>
    <xf numFmtId="0" fontId="6" fillId="5" borderId="3" xfId="2" applyFont="1" applyFill="1" applyBorder="1" applyAlignment="1" applyProtection="1">
      <alignment horizontal="right" vertical="center" indent="1"/>
    </xf>
    <xf numFmtId="0" fontId="6" fillId="0" borderId="3" xfId="2" applyFont="1" applyFill="1" applyBorder="1" applyAlignment="1" applyProtection="1">
      <alignment horizontal="right" vertical="center" indent="1"/>
    </xf>
    <xf numFmtId="0" fontId="5" fillId="0" borderId="0" xfId="2"/>
    <xf numFmtId="0" fontId="5" fillId="0" borderId="0" xfId="2" applyBorder="1" applyAlignment="1">
      <alignment horizontal="center"/>
    </xf>
    <xf numFmtId="49" fontId="5" fillId="0" borderId="12" xfId="2" applyNumberFormat="1" applyBorder="1" applyAlignment="1">
      <alignment horizontal="center"/>
    </xf>
    <xf numFmtId="49" fontId="5" fillId="0" borderId="13" xfId="2" applyNumberFormat="1" applyBorder="1" applyAlignment="1">
      <alignment horizontal="center"/>
    </xf>
    <xf numFmtId="49" fontId="5" fillId="0" borderId="13" xfId="2" applyNumberFormat="1" applyFont="1" applyBorder="1" applyAlignment="1">
      <alignment horizontal="center"/>
    </xf>
    <xf numFmtId="49" fontId="5" fillId="0" borderId="14" xfId="2" applyNumberFormat="1" applyBorder="1" applyAlignment="1">
      <alignment horizontal="center"/>
    </xf>
    <xf numFmtId="49" fontId="5" fillId="0" borderId="15" xfId="2" applyNumberFormat="1" applyFont="1" applyBorder="1" applyAlignment="1">
      <alignment horizontal="center"/>
    </xf>
    <xf numFmtId="49" fontId="5" fillId="0" borderId="0" xfId="2" applyNumberFormat="1" applyBorder="1" applyAlignment="1">
      <alignment horizontal="center"/>
    </xf>
    <xf numFmtId="49" fontId="5" fillId="0" borderId="16" xfId="2" applyNumberFormat="1" applyBorder="1" applyAlignment="1"/>
    <xf numFmtId="49" fontId="5" fillId="0" borderId="17" xfId="2" applyNumberFormat="1" applyBorder="1" applyAlignment="1"/>
    <xf numFmtId="49" fontId="5" fillId="0" borderId="17" xfId="2" applyNumberFormat="1" applyBorder="1" applyAlignment="1">
      <alignment horizontal="center"/>
    </xf>
    <xf numFmtId="49" fontId="5" fillId="0" borderId="17" xfId="2" applyNumberFormat="1" applyFont="1" applyBorder="1" applyAlignment="1">
      <alignment horizontal="center"/>
    </xf>
    <xf numFmtId="49" fontId="5" fillId="0" borderId="18" xfId="2" applyNumberFormat="1" applyBorder="1" applyAlignment="1">
      <alignment horizontal="center"/>
    </xf>
    <xf numFmtId="49" fontId="5" fillId="0" borderId="19" xfId="2" applyNumberFormat="1" applyBorder="1" applyAlignment="1">
      <alignment horizontal="center"/>
    </xf>
    <xf numFmtId="49" fontId="5" fillId="0" borderId="10" xfId="2" applyNumberFormat="1" applyBorder="1" applyAlignment="1"/>
    <xf numFmtId="49" fontId="5" fillId="0" borderId="20" xfId="2" applyNumberFormat="1" applyBorder="1" applyAlignment="1"/>
    <xf numFmtId="2" fontId="5" fillId="0" borderId="20" xfId="2" applyNumberFormat="1" applyBorder="1"/>
    <xf numFmtId="0" fontId="5" fillId="0" borderId="20" xfId="2" applyBorder="1" applyAlignment="1">
      <alignment horizontal="right"/>
    </xf>
    <xf numFmtId="2" fontId="5" fillId="0" borderId="21" xfId="2" applyNumberFormat="1" applyBorder="1"/>
    <xf numFmtId="2" fontId="5" fillId="0" borderId="11" xfId="2" applyNumberFormat="1" applyBorder="1"/>
    <xf numFmtId="2" fontId="5" fillId="0" borderId="0" xfId="2" applyNumberFormat="1" applyBorder="1"/>
    <xf numFmtId="2" fontId="5" fillId="0" borderId="0" xfId="2" applyNumberFormat="1"/>
    <xf numFmtId="49" fontId="5" fillId="0" borderId="12" xfId="2" applyNumberFormat="1" applyBorder="1" applyAlignment="1"/>
    <xf numFmtId="49" fontId="5" fillId="0" borderId="13" xfId="2" applyNumberFormat="1" applyBorder="1" applyAlignment="1"/>
    <xf numFmtId="2" fontId="5" fillId="0" borderId="13" xfId="2" applyNumberFormat="1" applyBorder="1"/>
    <xf numFmtId="0" fontId="5" fillId="0" borderId="13" xfId="2" applyBorder="1" applyAlignment="1">
      <alignment horizontal="right"/>
    </xf>
    <xf numFmtId="2" fontId="5" fillId="0" borderId="14" xfId="2" applyNumberFormat="1" applyBorder="1"/>
    <xf numFmtId="2" fontId="5" fillId="0" borderId="15" xfId="2" applyNumberFormat="1" applyBorder="1"/>
    <xf numFmtId="0" fontId="5" fillId="0" borderId="0" xfId="2" applyFont="1"/>
    <xf numFmtId="166" fontId="6" fillId="4" borderId="3" xfId="2" applyNumberFormat="1" applyFont="1" applyFill="1" applyBorder="1" applyAlignment="1" applyProtection="1">
      <alignment horizontal="left" vertical="center" indent="1"/>
    </xf>
    <xf numFmtId="0" fontId="6" fillId="0" borderId="0" xfId="2" applyFont="1" applyBorder="1" applyAlignment="1" applyProtection="1">
      <alignment horizontal="center" vertical="center"/>
    </xf>
    <xf numFmtId="0" fontId="6" fillId="0" borderId="0" xfId="2" applyFont="1" applyFill="1" applyBorder="1" applyAlignment="1" applyProtection="1">
      <alignment horizontal="center" vertical="center"/>
    </xf>
    <xf numFmtId="0" fontId="6" fillId="0" borderId="0" xfId="2" applyFont="1" applyFill="1" applyBorder="1" applyAlignment="1" applyProtection="1">
      <alignment vertical="center"/>
    </xf>
    <xf numFmtId="2" fontId="6" fillId="5" borderId="0" xfId="2" applyNumberFormat="1" applyFont="1" applyFill="1" applyBorder="1" applyAlignment="1" applyProtection="1">
      <alignment vertical="center"/>
    </xf>
    <xf numFmtId="0" fontId="5" fillId="0" borderId="0" xfId="2" applyProtection="1"/>
    <xf numFmtId="0" fontId="6" fillId="0" borderId="0" xfId="2" applyFont="1" applyBorder="1" applyAlignment="1" applyProtection="1">
      <alignment horizontal="right" vertical="center"/>
    </xf>
    <xf numFmtId="0" fontId="6" fillId="0" borderId="3" xfId="2" applyFont="1" applyBorder="1" applyAlignment="1" applyProtection="1">
      <alignment horizontal="right" vertical="center"/>
    </xf>
    <xf numFmtId="0" fontId="6" fillId="0" borderId="0" xfId="2" applyFont="1" applyBorder="1" applyAlignment="1" applyProtection="1">
      <alignment horizontal="left" vertical="center"/>
    </xf>
    <xf numFmtId="2" fontId="6" fillId="0" borderId="0" xfId="2" applyNumberFormat="1" applyFont="1" applyBorder="1" applyAlignment="1" applyProtection="1">
      <alignment horizontal="center" vertical="center"/>
    </xf>
    <xf numFmtId="2" fontId="15" fillId="0" borderId="11" xfId="1" applyNumberFormat="1" applyFont="1" applyBorder="1" applyAlignment="1">
      <alignment horizontal="center"/>
    </xf>
    <xf numFmtId="0" fontId="16" fillId="0" borderId="29" xfId="2" applyFont="1" applyBorder="1" applyAlignment="1">
      <alignment horizontal="center"/>
    </xf>
    <xf numFmtId="0" fontId="16" fillId="0" borderId="0" xfId="2" applyFont="1"/>
    <xf numFmtId="0" fontId="16" fillId="0" borderId="30" xfId="2" applyFont="1" applyBorder="1" applyAlignment="1">
      <alignment horizontal="center"/>
    </xf>
    <xf numFmtId="1" fontId="16" fillId="0" borderId="10" xfId="2" applyNumberFormat="1" applyFont="1" applyBorder="1" applyAlignment="1">
      <alignment horizontal="center"/>
    </xf>
    <xf numFmtId="0" fontId="16" fillId="0" borderId="10" xfId="2" applyFont="1" applyBorder="1" applyAlignment="1">
      <alignment horizontal="center"/>
    </xf>
    <xf numFmtId="0" fontId="16" fillId="0" borderId="11" xfId="2" applyFont="1" applyBorder="1" applyAlignment="1">
      <alignment horizontal="center"/>
    </xf>
    <xf numFmtId="1" fontId="16" fillId="0" borderId="12" xfId="2" applyNumberFormat="1" applyFont="1" applyBorder="1" applyAlignment="1">
      <alignment horizontal="center"/>
    </xf>
    <xf numFmtId="2" fontId="15" fillId="0" borderId="15" xfId="1" applyNumberFormat="1" applyFont="1" applyBorder="1" applyAlignment="1">
      <alignment horizontal="center"/>
    </xf>
    <xf numFmtId="0" fontId="16" fillId="0" borderId="12" xfId="2" applyFont="1" applyBorder="1" applyAlignment="1">
      <alignment horizontal="center"/>
    </xf>
    <xf numFmtId="0" fontId="16" fillId="0" borderId="15" xfId="2" applyFont="1" applyBorder="1" applyAlignment="1">
      <alignment horizontal="center"/>
    </xf>
    <xf numFmtId="0" fontId="16" fillId="0" borderId="22" xfId="2" applyFont="1" applyBorder="1" applyAlignment="1">
      <alignment horizontal="center"/>
    </xf>
    <xf numFmtId="0" fontId="16" fillId="0" borderId="25" xfId="2" applyFont="1" applyBorder="1" applyAlignment="1">
      <alignment horizontal="center"/>
    </xf>
    <xf numFmtId="0" fontId="16" fillId="0" borderId="0" xfId="2" applyFont="1" applyAlignment="1">
      <alignment horizontal="center"/>
    </xf>
    <xf numFmtId="1" fontId="16" fillId="0" borderId="22" xfId="2" applyNumberFormat="1" applyFont="1" applyBorder="1" applyAlignment="1">
      <alignment horizontal="center"/>
    </xf>
    <xf numFmtId="2" fontId="15" fillId="0" borderId="25" xfId="1" applyNumberFormat="1" applyFont="1" applyBorder="1" applyAlignment="1">
      <alignment horizontal="center"/>
    </xf>
    <xf numFmtId="3" fontId="6" fillId="0" borderId="13" xfId="2" applyNumberFormat="1" applyFont="1" applyBorder="1" applyAlignment="1" applyProtection="1">
      <alignment horizontal="right" vertical="center" indent="1"/>
      <protection locked="0"/>
    </xf>
    <xf numFmtId="164" fontId="6" fillId="0" borderId="13" xfId="2" applyNumberFormat="1" applyFont="1" applyBorder="1" applyAlignment="1" applyProtection="1">
      <alignment horizontal="right" vertical="center" indent="1"/>
      <protection locked="0"/>
    </xf>
    <xf numFmtId="3" fontId="6" fillId="0" borderId="20" xfId="2" applyNumberFormat="1" applyFont="1" applyBorder="1" applyAlignment="1" applyProtection="1">
      <alignment horizontal="right" vertical="center" indent="1"/>
      <protection locked="0"/>
    </xf>
    <xf numFmtId="164" fontId="6" fillId="0" borderId="23" xfId="2" applyNumberFormat="1" applyFont="1" applyBorder="1" applyAlignment="1" applyProtection="1">
      <alignment horizontal="right" vertical="center" indent="1"/>
      <protection locked="0"/>
    </xf>
    <xf numFmtId="4" fontId="6" fillId="0" borderId="13" xfId="2" applyNumberFormat="1" applyFont="1" applyBorder="1" applyAlignment="1" applyProtection="1">
      <alignment horizontal="right" vertical="center" indent="1"/>
      <protection locked="0"/>
    </xf>
    <xf numFmtId="0" fontId="6" fillId="0" borderId="13" xfId="2" applyNumberFormat="1" applyFont="1" applyBorder="1" applyAlignment="1" applyProtection="1">
      <alignment horizontal="right" vertical="center" indent="1"/>
      <protection locked="0"/>
    </xf>
    <xf numFmtId="0" fontId="5" fillId="0" borderId="0" xfId="2" applyAlignment="1" applyProtection="1">
      <alignment horizontal="right" vertical="center" indent="1"/>
    </xf>
    <xf numFmtId="175" fontId="6" fillId="4" borderId="6" xfId="2" applyNumberFormat="1" applyFont="1" applyFill="1" applyBorder="1" applyAlignment="1" applyProtection="1">
      <alignment horizontal="left" vertical="center" indent="1"/>
    </xf>
    <xf numFmtId="0" fontId="6" fillId="0" borderId="7" xfId="2" applyFont="1" applyFill="1" applyBorder="1" applyAlignment="1" applyProtection="1">
      <alignment horizontal="center" vertical="center"/>
    </xf>
    <xf numFmtId="174" fontId="6" fillId="4" borderId="6" xfId="2" applyNumberFormat="1" applyFont="1" applyFill="1" applyBorder="1" applyAlignment="1" applyProtection="1">
      <alignment horizontal="left" vertical="center" indent="1"/>
    </xf>
    <xf numFmtId="176" fontId="6" fillId="4" borderId="6" xfId="2" applyNumberFormat="1" applyFont="1" applyFill="1" applyBorder="1" applyAlignment="1" applyProtection="1">
      <alignment horizontal="left" vertical="center" indent="1"/>
    </xf>
    <xf numFmtId="0" fontId="6" fillId="0" borderId="0" xfId="2" applyFont="1" applyBorder="1" applyAlignment="1" applyProtection="1">
      <alignment horizontal="right" vertical="center" indent="1" readingOrder="2"/>
    </xf>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6" fillId="0" borderId="2" xfId="2" applyFont="1" applyFill="1" applyBorder="1" applyAlignment="1" applyProtection="1">
      <alignment horizontal="center" vertical="center"/>
    </xf>
    <xf numFmtId="0" fontId="6" fillId="2" borderId="1" xfId="2" applyFont="1" applyFill="1" applyBorder="1" applyAlignment="1" applyProtection="1">
      <alignment horizontal="right" vertical="center"/>
    </xf>
    <xf numFmtId="4" fontId="6" fillId="0" borderId="2" xfId="2" applyNumberFormat="1" applyFont="1" applyFill="1" applyBorder="1" applyAlignment="1" applyProtection="1">
      <alignment horizontal="center" vertical="center"/>
    </xf>
    <xf numFmtId="0" fontId="6" fillId="0" borderId="4" xfId="2" applyFont="1" applyFill="1" applyBorder="1" applyAlignment="1" applyProtection="1">
      <alignment horizontal="center" vertical="center"/>
    </xf>
    <xf numFmtId="0" fontId="6" fillId="2" borderId="31" xfId="2" applyFont="1" applyFill="1" applyBorder="1" applyAlignment="1" applyProtection="1">
      <alignment horizontal="center" vertical="center"/>
    </xf>
    <xf numFmtId="0" fontId="6" fillId="2" borderId="31" xfId="2" applyFont="1" applyFill="1" applyBorder="1" applyAlignment="1" applyProtection="1">
      <alignment horizontal="right" vertical="center" indent="1"/>
    </xf>
    <xf numFmtId="0" fontId="6" fillId="2" borderId="32" xfId="2" applyFont="1" applyFill="1" applyBorder="1" applyAlignment="1" applyProtection="1">
      <alignment horizontal="left" vertical="center" indent="1"/>
    </xf>
    <xf numFmtId="166" fontId="6" fillId="4" borderId="6" xfId="2" applyNumberFormat="1" applyFont="1" applyFill="1" applyBorder="1" applyAlignment="1" applyProtection="1">
      <alignment horizontal="left" vertical="center" indent="1"/>
    </xf>
    <xf numFmtId="0" fontId="6" fillId="2" borderId="39" xfId="2" applyFont="1" applyFill="1" applyBorder="1" applyAlignment="1" applyProtection="1">
      <alignment horizontal="right" vertical="center" indent="1"/>
    </xf>
    <xf numFmtId="0" fontId="6" fillId="0" borderId="40" xfId="2" applyFont="1" applyBorder="1" applyAlignment="1" applyProtection="1">
      <alignment horizontal="left" vertical="center" indent="1"/>
    </xf>
    <xf numFmtId="0" fontId="6" fillId="0" borderId="2" xfId="2" applyFont="1" applyFill="1" applyBorder="1" applyAlignment="1" applyProtection="1">
      <alignment vertical="center"/>
    </xf>
    <xf numFmtId="0" fontId="6" fillId="2" borderId="1" xfId="2" applyFont="1" applyFill="1" applyBorder="1" applyAlignment="1" applyProtection="1">
      <alignment horizontal="right" vertical="center" indent="1"/>
    </xf>
    <xf numFmtId="0" fontId="0" fillId="0" borderId="13" xfId="0" applyBorder="1" applyAlignment="1">
      <alignment horizontal="center"/>
    </xf>
    <xf numFmtId="0" fontId="0" fillId="5" borderId="0" xfId="0" applyFill="1" applyBorder="1"/>
    <xf numFmtId="0" fontId="0" fillId="5" borderId="18" xfId="0" applyFill="1" applyBorder="1"/>
    <xf numFmtId="0" fontId="0" fillId="5" borderId="40" xfId="0" applyFill="1" applyBorder="1"/>
    <xf numFmtId="0" fontId="0" fillId="5" borderId="43" xfId="0" applyFill="1" applyBorder="1"/>
    <xf numFmtId="0" fontId="0" fillId="0" borderId="27" xfId="0" applyBorder="1" applyAlignment="1">
      <alignment horizontal="center"/>
    </xf>
    <xf numFmtId="0" fontId="0" fillId="0" borderId="0" xfId="0" applyBorder="1"/>
    <xf numFmtId="0" fontId="0" fillId="0" borderId="0" xfId="0" applyFill="1" applyBorder="1"/>
    <xf numFmtId="0" fontId="0" fillId="5" borderId="48" xfId="0" applyFill="1" applyBorder="1"/>
    <xf numFmtId="0" fontId="0" fillId="5" borderId="49" xfId="0" applyFill="1" applyBorder="1"/>
    <xf numFmtId="0" fontId="0" fillId="10" borderId="13" xfId="0" applyFill="1" applyBorder="1" applyAlignment="1">
      <alignment horizontal="center"/>
    </xf>
    <xf numFmtId="0" fontId="0" fillId="10" borderId="27"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0" fontId="0" fillId="0" borderId="0" xfId="0" applyFill="1"/>
    <xf numFmtId="0" fontId="0" fillId="0" borderId="40" xfId="0" applyFont="1" applyFill="1" applyBorder="1"/>
    <xf numFmtId="0" fontId="0" fillId="0" borderId="0" xfId="0" applyFont="1" applyFill="1" applyBorder="1"/>
    <xf numFmtId="0" fontId="0" fillId="5" borderId="48" xfId="0" applyFont="1" applyFill="1" applyBorder="1"/>
    <xf numFmtId="0" fontId="0" fillId="10" borderId="38" xfId="0" applyFill="1" applyBorder="1" applyAlignment="1">
      <alignment horizontal="center"/>
    </xf>
    <xf numFmtId="0" fontId="0" fillId="5" borderId="37" xfId="0" applyFill="1" applyBorder="1" applyAlignment="1">
      <alignment horizontal="center"/>
    </xf>
    <xf numFmtId="0" fontId="22" fillId="5" borderId="44" xfId="0" applyFont="1" applyFill="1" applyBorder="1" applyAlignment="1">
      <alignment horizontal="center"/>
    </xf>
    <xf numFmtId="1" fontId="16" fillId="0" borderId="0" xfId="2" applyNumberFormat="1" applyFont="1"/>
    <xf numFmtId="3" fontId="6" fillId="0" borderId="23" xfId="2" applyNumberFormat="1" applyFont="1" applyBorder="1" applyAlignment="1" applyProtection="1">
      <alignment horizontal="right" vertical="center" indent="1"/>
      <protection locked="0"/>
    </xf>
    <xf numFmtId="0" fontId="6" fillId="0" borderId="13" xfId="2" applyFont="1" applyBorder="1" applyAlignment="1" applyProtection="1">
      <alignment horizontal="center" vertical="center"/>
      <protection locked="0"/>
    </xf>
    <xf numFmtId="3" fontId="6" fillId="0" borderId="27" xfId="2" applyNumberFormat="1" applyFont="1" applyBorder="1" applyAlignment="1" applyProtection="1">
      <alignment horizontal="right" vertical="center" indent="1"/>
      <protection locked="0"/>
    </xf>
    <xf numFmtId="164" fontId="6" fillId="0" borderId="0" xfId="2" applyNumberFormat="1" applyFont="1" applyBorder="1" applyAlignment="1" applyProtection="1">
      <alignment horizontal="right" vertical="center" indent="1"/>
      <protection locked="0"/>
    </xf>
    <xf numFmtId="0" fontId="6" fillId="0" borderId="23" xfId="2" applyNumberFormat="1" applyFont="1" applyBorder="1" applyAlignment="1" applyProtection="1">
      <alignment horizontal="right" vertical="center" indent="1"/>
      <protection locked="0"/>
    </xf>
    <xf numFmtId="0" fontId="25" fillId="0" borderId="0" xfId="0" applyFont="1" applyAlignment="1">
      <alignment vertical="top" wrapText="1"/>
    </xf>
    <xf numFmtId="0" fontId="16" fillId="0" borderId="0" xfId="2" applyFont="1" applyBorder="1"/>
    <xf numFmtId="0" fontId="6" fillId="4" borderId="3" xfId="2" applyNumberFormat="1" applyFont="1" applyFill="1" applyBorder="1" applyAlignment="1" applyProtection="1">
      <alignment horizontal="right" vertical="center" indent="1" readingOrder="2"/>
    </xf>
    <xf numFmtId="0" fontId="28" fillId="0" borderId="4" xfId="2" applyFont="1" applyFill="1" applyBorder="1" applyAlignment="1" applyProtection="1">
      <alignment vertical="center"/>
    </xf>
    <xf numFmtId="0" fontId="28" fillId="0" borderId="0" xfId="2" applyFont="1" applyBorder="1" applyAlignment="1" applyProtection="1">
      <alignment horizontal="right" vertical="center" indent="1" readingOrder="1"/>
    </xf>
    <xf numFmtId="0" fontId="6" fillId="0" borderId="56" xfId="2" applyFont="1" applyBorder="1" applyAlignment="1" applyProtection="1">
      <alignment horizontal="right" vertical="center" indent="1"/>
    </xf>
    <xf numFmtId="0" fontId="6" fillId="0" borderId="37" xfId="2" applyFont="1" applyBorder="1" applyAlignment="1" applyProtection="1">
      <alignment horizontal="left" vertical="center" indent="1"/>
    </xf>
    <xf numFmtId="0" fontId="28" fillId="0" borderId="15" xfId="2" applyFont="1" applyBorder="1" applyAlignment="1" applyProtection="1">
      <alignment horizontal="right" vertical="center" indent="1" readingOrder="1"/>
    </xf>
    <xf numFmtId="0" fontId="28" fillId="0" borderId="0" xfId="2" applyFont="1" applyAlignment="1" applyProtection="1">
      <alignment horizontal="right" vertical="center" indent="1" readingOrder="1"/>
    </xf>
    <xf numFmtId="0" fontId="18" fillId="0" borderId="0" xfId="2" applyFont="1" applyBorder="1" applyAlignment="1" applyProtection="1">
      <alignment horizontal="center" vertical="center"/>
    </xf>
    <xf numFmtId="0" fontId="18" fillId="2" borderId="31" xfId="2" applyFont="1" applyFill="1" applyBorder="1" applyAlignment="1" applyProtection="1">
      <alignment horizontal="center" vertical="center"/>
    </xf>
    <xf numFmtId="0" fontId="18" fillId="2" borderId="32" xfId="2" applyFont="1" applyFill="1" applyBorder="1" applyAlignment="1" applyProtection="1">
      <alignment horizontal="left" vertical="center"/>
    </xf>
    <xf numFmtId="4" fontId="18" fillId="2" borderId="32" xfId="2" applyNumberFormat="1" applyFont="1" applyFill="1" applyBorder="1" applyAlignment="1" applyProtection="1">
      <alignment horizontal="right" vertical="center"/>
    </xf>
    <xf numFmtId="0" fontId="18" fillId="11" borderId="3" xfId="2" applyFont="1" applyFill="1" applyBorder="1" applyAlignment="1" applyProtection="1">
      <alignment horizontal="right" vertical="center"/>
    </xf>
    <xf numFmtId="0" fontId="18" fillId="11" borderId="0" xfId="2" applyFont="1" applyFill="1" applyBorder="1" applyAlignment="1" applyProtection="1">
      <alignment horizontal="center" vertical="center"/>
    </xf>
    <xf numFmtId="4" fontId="18" fillId="11" borderId="0" xfId="2" applyNumberFormat="1" applyFont="1" applyFill="1" applyBorder="1" applyAlignment="1" applyProtection="1">
      <alignment horizontal="center" vertical="center"/>
    </xf>
    <xf numFmtId="0" fontId="28" fillId="11" borderId="5" xfId="2" applyFont="1" applyFill="1" applyBorder="1" applyAlignment="1" applyProtection="1">
      <alignment horizontal="center" vertical="center"/>
    </xf>
    <xf numFmtId="0" fontId="28" fillId="0" borderId="0" xfId="2" applyFont="1" applyBorder="1" applyAlignment="1" applyProtection="1">
      <alignment horizontal="center" vertical="center"/>
    </xf>
    <xf numFmtId="0" fontId="28" fillId="0" borderId="0" xfId="2" applyFont="1" applyBorder="1" applyAlignment="1" applyProtection="1">
      <alignment horizontal="right" vertical="center" readingOrder="1"/>
    </xf>
    <xf numFmtId="0" fontId="28" fillId="0" borderId="0" xfId="2" applyFont="1" applyBorder="1" applyAlignment="1" applyProtection="1">
      <alignment vertical="center"/>
    </xf>
    <xf numFmtId="0" fontId="28" fillId="0" borderId="5" xfId="2" applyFont="1" applyFill="1" applyBorder="1" applyAlignment="1" applyProtection="1">
      <alignment horizontal="center" vertical="center"/>
    </xf>
    <xf numFmtId="4" fontId="18" fillId="2" borderId="33" xfId="2" applyNumberFormat="1" applyFont="1" applyFill="1" applyBorder="1" applyAlignment="1" applyProtection="1">
      <alignment horizontal="right" vertical="center"/>
    </xf>
    <xf numFmtId="4" fontId="6" fillId="0" borderId="0" xfId="2" applyNumberFormat="1" applyFont="1" applyBorder="1" applyAlignment="1" applyProtection="1">
      <alignment vertical="center"/>
    </xf>
    <xf numFmtId="0" fontId="6" fillId="0" borderId="0" xfId="2" applyFont="1" applyBorder="1" applyAlignment="1" applyProtection="1">
      <alignment horizontal="right" vertical="center" readingOrder="1"/>
    </xf>
    <xf numFmtId="0" fontId="8" fillId="2" borderId="32" xfId="2" applyFont="1" applyFill="1" applyBorder="1" applyAlignment="1" applyProtection="1">
      <alignment horizontal="right" vertical="center"/>
    </xf>
    <xf numFmtId="0" fontId="28" fillId="0" borderId="5" xfId="2" applyFont="1" applyBorder="1" applyAlignment="1" applyProtection="1">
      <alignment horizontal="right" vertical="center" readingOrder="1"/>
    </xf>
    <xf numFmtId="0" fontId="28" fillId="0" borderId="8" xfId="2" applyFont="1" applyBorder="1" applyAlignment="1" applyProtection="1">
      <alignment horizontal="right" vertical="center" readingOrder="1"/>
    </xf>
    <xf numFmtId="0" fontId="28" fillId="0" borderId="57" xfId="2" applyFont="1" applyBorder="1" applyAlignment="1" applyProtection="1">
      <alignment horizontal="right" vertical="center" readingOrder="1"/>
    </xf>
    <xf numFmtId="0" fontId="28" fillId="0" borderId="41" xfId="2" applyFont="1" applyBorder="1" applyAlignment="1" applyProtection="1">
      <alignment horizontal="right" vertical="center" readingOrder="1"/>
    </xf>
    <xf numFmtId="0" fontId="28" fillId="0" borderId="5" xfId="2" applyFont="1" applyBorder="1" applyAlignment="1" applyProtection="1">
      <alignment horizontal="right" vertical="center"/>
    </xf>
    <xf numFmtId="0" fontId="28" fillId="0" borderId="0" xfId="2" applyFont="1" applyBorder="1" applyAlignment="1" applyProtection="1">
      <alignment horizontal="right" vertical="center"/>
    </xf>
    <xf numFmtId="0" fontId="6" fillId="2" borderId="32" xfId="2" applyFont="1" applyFill="1" applyBorder="1" applyAlignment="1" applyProtection="1">
      <alignment horizontal="right" vertical="center"/>
    </xf>
    <xf numFmtId="4" fontId="6" fillId="5" borderId="0" xfId="2" applyNumberFormat="1" applyFont="1" applyFill="1" applyBorder="1" applyAlignment="1" applyProtection="1">
      <alignment horizontal="right" vertical="center"/>
    </xf>
    <xf numFmtId="164" fontId="6" fillId="5" borderId="0" xfId="2" applyNumberFormat="1" applyFont="1" applyFill="1" applyBorder="1" applyAlignment="1" applyProtection="1">
      <alignment horizontal="right" vertical="center"/>
    </xf>
    <xf numFmtId="4" fontId="6" fillId="5" borderId="0" xfId="1" applyNumberFormat="1" applyFont="1" applyFill="1" applyBorder="1" applyAlignment="1" applyProtection="1">
      <alignment horizontal="right" vertical="center"/>
    </xf>
    <xf numFmtId="167" fontId="6" fillId="5" borderId="0" xfId="1" applyNumberFormat="1" applyFont="1" applyFill="1" applyBorder="1" applyAlignment="1" applyProtection="1">
      <alignment horizontal="right" vertical="center"/>
    </xf>
    <xf numFmtId="2" fontId="6" fillId="5" borderId="0" xfId="2" applyNumberFormat="1" applyFont="1" applyFill="1" applyBorder="1" applyAlignment="1" applyProtection="1">
      <alignment horizontal="right" vertical="center"/>
    </xf>
    <xf numFmtId="0" fontId="6" fillId="0" borderId="0" xfId="2" applyNumberFormat="1" applyFont="1" applyBorder="1" applyAlignment="1" applyProtection="1">
      <alignment horizontal="right" vertical="center"/>
    </xf>
    <xf numFmtId="3" fontId="6" fillId="0" borderId="0" xfId="2" applyNumberFormat="1" applyFont="1" applyBorder="1" applyAlignment="1" applyProtection="1">
      <alignment horizontal="right" vertical="center"/>
    </xf>
    <xf numFmtId="2" fontId="6" fillId="0" borderId="0" xfId="2" applyNumberFormat="1" applyFont="1" applyFill="1" applyBorder="1" applyAlignment="1" applyProtection="1">
      <alignment horizontal="right" vertical="center"/>
    </xf>
    <xf numFmtId="1" fontId="6" fillId="0" borderId="0" xfId="2" applyNumberFormat="1" applyFont="1" applyFill="1" applyBorder="1" applyAlignment="1" applyProtection="1">
      <alignment horizontal="right" vertical="center"/>
    </xf>
    <xf numFmtId="170" fontId="6" fillId="0" borderId="0" xfId="2" applyNumberFormat="1" applyFont="1" applyBorder="1" applyAlignment="1" applyProtection="1">
      <alignment horizontal="right" vertical="center"/>
    </xf>
    <xf numFmtId="169" fontId="6" fillId="0" borderId="0" xfId="2" applyNumberFormat="1" applyFont="1" applyFill="1" applyBorder="1" applyAlignment="1" applyProtection="1">
      <alignment horizontal="right" vertical="center"/>
    </xf>
    <xf numFmtId="169" fontId="6" fillId="0" borderId="0" xfId="2" applyNumberFormat="1" applyFont="1" applyBorder="1" applyAlignment="1" applyProtection="1">
      <alignment horizontal="right" vertical="center"/>
    </xf>
    <xf numFmtId="170" fontId="6" fillId="0" borderId="7" xfId="2" applyNumberFormat="1" applyFont="1" applyBorder="1" applyAlignment="1" applyProtection="1">
      <alignment horizontal="right" vertical="center"/>
    </xf>
    <xf numFmtId="169" fontId="6" fillId="0" borderId="7" xfId="2" applyNumberFormat="1" applyFont="1" applyBorder="1" applyAlignment="1" applyProtection="1">
      <alignment horizontal="right" vertical="center"/>
    </xf>
    <xf numFmtId="0" fontId="26" fillId="0" borderId="5" xfId="2" applyFont="1" applyBorder="1" applyAlignment="1" applyProtection="1">
      <alignment horizontal="right" vertical="center" readingOrder="1"/>
    </xf>
    <xf numFmtId="0" fontId="6" fillId="0" borderId="5" xfId="2" applyFont="1" applyBorder="1" applyAlignment="1" applyProtection="1">
      <alignment horizontal="right" vertical="center" readingOrder="1"/>
    </xf>
    <xf numFmtId="0" fontId="28" fillId="0" borderId="5" xfId="2" applyFont="1" applyBorder="1" applyAlignment="1" applyProtection="1">
      <alignment horizontal="right" vertical="center" wrapText="1" readingOrder="1"/>
    </xf>
    <xf numFmtId="0" fontId="28" fillId="0" borderId="5" xfId="2" applyFont="1" applyBorder="1" applyAlignment="1" applyProtection="1">
      <alignment horizontal="right" vertical="center" wrapText="1"/>
    </xf>
    <xf numFmtId="0" fontId="28" fillId="0" borderId="8" xfId="2" applyFont="1" applyBorder="1" applyAlignment="1" applyProtection="1">
      <alignment horizontal="right" vertical="center" wrapText="1"/>
    </xf>
    <xf numFmtId="0" fontId="6" fillId="0" borderId="5" xfId="2" applyFont="1" applyFill="1" applyBorder="1" applyAlignment="1" applyProtection="1">
      <alignment horizontal="right" vertical="center"/>
    </xf>
    <xf numFmtId="179" fontId="28" fillId="4" borderId="8" xfId="2" applyNumberFormat="1" applyFont="1" applyFill="1" applyBorder="1" applyAlignment="1" applyProtection="1">
      <alignment horizontal="right" vertical="center"/>
    </xf>
    <xf numFmtId="0" fontId="6" fillId="0" borderId="0" xfId="2" applyFont="1" applyFill="1" applyBorder="1" applyAlignment="1" applyProtection="1">
      <alignment horizontal="left" vertical="center" indent="1"/>
    </xf>
    <xf numFmtId="0" fontId="6" fillId="0" borderId="7" xfId="2" applyFont="1" applyFill="1" applyBorder="1" applyAlignment="1" applyProtection="1">
      <alignment horizontal="left" vertical="center" indent="1"/>
    </xf>
    <xf numFmtId="4" fontId="6" fillId="0" borderId="7" xfId="2" applyNumberFormat="1" applyFont="1" applyBorder="1" applyAlignment="1" applyProtection="1">
      <alignment horizontal="right" vertical="center"/>
    </xf>
    <xf numFmtId="3" fontId="6" fillId="0" borderId="7" xfId="2" applyNumberFormat="1" applyFont="1" applyBorder="1" applyAlignment="1" applyProtection="1">
      <alignment horizontal="right" vertical="center"/>
    </xf>
    <xf numFmtId="9" fontId="6" fillId="0" borderId="0" xfId="4" applyFont="1" applyBorder="1" applyAlignment="1" applyProtection="1">
      <alignment horizontal="right" vertical="center"/>
    </xf>
    <xf numFmtId="4" fontId="6" fillId="0" borderId="0" xfId="2" applyNumberFormat="1" applyFont="1" applyBorder="1" applyAlignment="1" applyProtection="1">
      <alignment horizontal="right" vertical="center"/>
    </xf>
    <xf numFmtId="167" fontId="6" fillId="0" borderId="0" xfId="2" applyNumberFormat="1" applyFont="1" applyBorder="1" applyAlignment="1" applyProtection="1">
      <alignment horizontal="right" vertical="center"/>
    </xf>
    <xf numFmtId="170" fontId="6" fillId="0" borderId="0" xfId="2" applyNumberFormat="1" applyFont="1" applyFill="1" applyBorder="1" applyAlignment="1" applyProtection="1">
      <alignment horizontal="right" vertical="center" readingOrder="1"/>
    </xf>
    <xf numFmtId="167" fontId="6" fillId="0" borderId="7" xfId="2" applyNumberFormat="1" applyFont="1" applyBorder="1" applyAlignment="1" applyProtection="1">
      <alignment horizontal="right" vertical="center"/>
    </xf>
    <xf numFmtId="0" fontId="26" fillId="0" borderId="8" xfId="2" applyFont="1" applyBorder="1" applyAlignment="1" applyProtection="1">
      <alignment horizontal="right" vertical="center" readingOrder="1"/>
    </xf>
    <xf numFmtId="0" fontId="6" fillId="4" borderId="5" xfId="2" applyNumberFormat="1" applyFont="1" applyFill="1" applyBorder="1" applyAlignment="1" applyProtection="1">
      <alignment horizontal="right" vertical="center"/>
    </xf>
    <xf numFmtId="178" fontId="26" fillId="4" borderId="5" xfId="2" applyNumberFormat="1" applyFont="1" applyFill="1" applyBorder="1" applyAlignment="1" applyProtection="1">
      <alignment horizontal="right" vertical="center"/>
    </xf>
    <xf numFmtId="177" fontId="26" fillId="4" borderId="8" xfId="2" applyNumberFormat="1" applyFont="1" applyFill="1" applyBorder="1" applyAlignment="1" applyProtection="1">
      <alignment horizontal="right" vertical="center"/>
    </xf>
    <xf numFmtId="0" fontId="6" fillId="0" borderId="32" xfId="2" applyFont="1" applyBorder="1" applyAlignment="1" applyProtection="1">
      <alignment vertical="center" textRotation="90"/>
    </xf>
    <xf numFmtId="0" fontId="40" fillId="0" borderId="23" xfId="2" applyFont="1" applyBorder="1"/>
    <xf numFmtId="0" fontId="40" fillId="0" borderId="20" xfId="2" applyFont="1" applyBorder="1"/>
    <xf numFmtId="0" fontId="36" fillId="7" borderId="51" xfId="0" applyFont="1" applyFill="1" applyBorder="1" applyAlignment="1">
      <alignment horizontal="left" vertical="center" wrapText="1"/>
    </xf>
    <xf numFmtId="0" fontId="37" fillId="7" borderId="51" xfId="0" applyFont="1" applyFill="1" applyBorder="1" applyAlignment="1">
      <alignment horizontal="left" vertical="center" wrapText="1"/>
    </xf>
    <xf numFmtId="169" fontId="16" fillId="0" borderId="23" xfId="2" applyNumberFormat="1" applyFont="1" applyBorder="1" applyAlignment="1">
      <alignment horizontal="center" vertical="center"/>
    </xf>
    <xf numFmtId="169" fontId="16" fillId="0" borderId="25" xfId="2" applyNumberFormat="1" applyFont="1" applyBorder="1" applyAlignment="1">
      <alignment horizontal="center" vertical="center"/>
    </xf>
    <xf numFmtId="0" fontId="16" fillId="0" borderId="23" xfId="2" applyFont="1" applyBorder="1" applyAlignment="1">
      <alignment horizontal="center" vertical="center"/>
    </xf>
    <xf numFmtId="173" fontId="42" fillId="7" borderId="54" xfId="0" applyNumberFormat="1" applyFont="1" applyFill="1" applyBorder="1" applyAlignment="1">
      <alignment horizontal="center" vertical="center" wrapText="1"/>
    </xf>
    <xf numFmtId="173" fontId="42" fillId="7" borderId="55" xfId="0" applyNumberFormat="1" applyFont="1" applyFill="1" applyBorder="1" applyAlignment="1">
      <alignment horizontal="center" vertical="center" wrapText="1"/>
    </xf>
    <xf numFmtId="0" fontId="43" fillId="7" borderId="51" xfId="0" applyFont="1" applyFill="1" applyBorder="1" applyAlignment="1">
      <alignment horizontal="left" vertical="center" wrapText="1"/>
    </xf>
    <xf numFmtId="180" fontId="42" fillId="7" borderId="51" xfId="0" applyNumberFormat="1" applyFont="1" applyFill="1" applyBorder="1" applyAlignment="1">
      <alignment horizontal="center" vertical="center" wrapText="1"/>
    </xf>
    <xf numFmtId="180" fontId="42" fillId="7" borderId="52" xfId="0" applyNumberFormat="1" applyFont="1" applyFill="1" applyBorder="1" applyAlignment="1">
      <alignment horizontal="center" vertical="center" wrapText="1"/>
    </xf>
    <xf numFmtId="0" fontId="45" fillId="0" borderId="0" xfId="0" applyFont="1" applyBorder="1"/>
    <xf numFmtId="0" fontId="15" fillId="0" borderId="0" xfId="0" applyFont="1" applyAlignment="1">
      <alignment horizontal="center" vertical="center"/>
    </xf>
    <xf numFmtId="0" fontId="0" fillId="0" borderId="37" xfId="0" applyBorder="1"/>
    <xf numFmtId="0" fontId="49" fillId="0" borderId="0" xfId="0" applyFont="1" applyAlignment="1">
      <alignment horizontal="center"/>
    </xf>
    <xf numFmtId="0" fontId="48" fillId="0" borderId="0" xfId="0" applyFont="1" applyBorder="1"/>
    <xf numFmtId="0" fontId="48" fillId="0" borderId="0" xfId="0" applyFont="1"/>
    <xf numFmtId="0" fontId="47" fillId="0" borderId="18" xfId="0" applyFont="1" applyBorder="1" applyAlignment="1">
      <alignment horizontal="left" vertical="center"/>
    </xf>
    <xf numFmtId="0" fontId="45" fillId="0" borderId="40" xfId="0" applyFont="1" applyBorder="1"/>
    <xf numFmtId="0" fontId="47" fillId="0" borderId="43" xfId="0" applyFont="1" applyBorder="1"/>
    <xf numFmtId="0" fontId="47" fillId="0" borderId="48" xfId="0" applyFont="1" applyBorder="1" applyAlignment="1">
      <alignment horizontal="left" vertical="center"/>
    </xf>
    <xf numFmtId="0" fontId="47" fillId="0" borderId="49" xfId="0" applyFont="1" applyBorder="1"/>
    <xf numFmtId="0" fontId="47" fillId="0" borderId="45" xfId="0" applyFont="1" applyBorder="1" applyAlignment="1">
      <alignment horizontal="left" vertical="center"/>
    </xf>
    <xf numFmtId="0" fontId="45" fillId="0" borderId="37" xfId="0" applyFont="1" applyBorder="1"/>
    <xf numFmtId="0" fontId="0" fillId="0" borderId="44" xfId="0" applyBorder="1"/>
    <xf numFmtId="0" fontId="47" fillId="0" borderId="44" xfId="0" applyFont="1" applyBorder="1"/>
    <xf numFmtId="0" fontId="0" fillId="0" borderId="40" xfId="0" applyBorder="1"/>
    <xf numFmtId="0" fontId="0" fillId="0" borderId="43" xfId="0" applyBorder="1"/>
    <xf numFmtId="0" fontId="0" fillId="0" borderId="49" xfId="0" applyBorder="1"/>
    <xf numFmtId="0" fontId="48" fillId="0" borderId="42" xfId="0" applyFont="1" applyBorder="1"/>
    <xf numFmtId="0" fontId="48" fillId="0" borderId="38" xfId="0" applyFont="1" applyBorder="1"/>
    <xf numFmtId="169" fontId="0" fillId="9" borderId="13" xfId="0" applyNumberFormat="1" applyFill="1" applyBorder="1" applyAlignment="1">
      <alignment horizontal="center"/>
    </xf>
    <xf numFmtId="169" fontId="0" fillId="0" borderId="13" xfId="0" applyNumberFormat="1" applyBorder="1" applyAlignment="1">
      <alignment horizontal="center"/>
    </xf>
    <xf numFmtId="0" fontId="0" fillId="0" borderId="58" xfId="0" applyBorder="1" applyAlignment="1">
      <alignment horizontal="center"/>
    </xf>
    <xf numFmtId="0" fontId="0" fillId="10" borderId="17" xfId="0" applyFill="1" applyBorder="1" applyAlignment="1">
      <alignment horizontal="center"/>
    </xf>
    <xf numFmtId="0" fontId="0" fillId="0" borderId="17" xfId="0" applyBorder="1" applyAlignment="1">
      <alignment horizontal="center"/>
    </xf>
    <xf numFmtId="169" fontId="0" fillId="9" borderId="17" xfId="0" applyNumberFormat="1" applyFill="1" applyBorder="1" applyAlignment="1">
      <alignment horizontal="center"/>
    </xf>
    <xf numFmtId="0" fontId="0" fillId="0" borderId="3" xfId="0" applyBorder="1"/>
    <xf numFmtId="0" fontId="54" fillId="0" borderId="0" xfId="0" applyFont="1" applyBorder="1"/>
    <xf numFmtId="0" fontId="24" fillId="0" borderId="0" xfId="0" applyFont="1" applyBorder="1" applyAlignment="1">
      <alignment horizontal="right"/>
    </xf>
    <xf numFmtId="0" fontId="0" fillId="0" borderId="5" xfId="0" applyBorder="1"/>
    <xf numFmtId="0" fontId="0" fillId="0" borderId="3" xfId="0" applyFill="1" applyBorder="1" applyAlignment="1">
      <alignment horizontal="center"/>
    </xf>
    <xf numFmtId="0" fontId="24" fillId="0" borderId="0" xfId="0" applyFont="1" applyBorder="1"/>
    <xf numFmtId="0" fontId="0" fillId="0" borderId="6" xfId="0" applyFill="1" applyBorder="1" applyAlignment="1">
      <alignment horizontal="center"/>
    </xf>
    <xf numFmtId="0" fontId="54" fillId="0" borderId="7" xfId="0" applyFont="1" applyBorder="1"/>
    <xf numFmtId="0" fontId="24" fillId="0" borderId="7" xfId="0" applyFont="1" applyBorder="1"/>
    <xf numFmtId="0" fontId="0" fillId="0" borderId="8" xfId="0" applyBorder="1"/>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5" fillId="0" borderId="10" xfId="2" applyBorder="1" applyAlignment="1">
      <alignment horizontal="right"/>
    </xf>
    <xf numFmtId="0" fontId="5" fillId="0" borderId="20" xfId="2" applyBorder="1"/>
    <xf numFmtId="0" fontId="5" fillId="0" borderId="11" xfId="2" applyBorder="1" applyAlignment="1">
      <alignment horizontal="right"/>
    </xf>
    <xf numFmtId="0" fontId="5" fillId="0" borderId="26" xfId="2" applyBorder="1" applyAlignment="1">
      <alignment horizontal="right"/>
    </xf>
    <xf numFmtId="0" fontId="5" fillId="0" borderId="27" xfId="2" applyBorder="1"/>
    <xf numFmtId="0" fontId="5" fillId="0" borderId="28" xfId="2" applyBorder="1" applyAlignment="1">
      <alignment horizontal="right"/>
    </xf>
    <xf numFmtId="0" fontId="5" fillId="0" borderId="12" xfId="2" applyBorder="1"/>
    <xf numFmtId="0" fontId="5" fillId="0" borderId="13" xfId="2" applyBorder="1"/>
    <xf numFmtId="0" fontId="5" fillId="0" borderId="15" xfId="2" applyBorder="1"/>
    <xf numFmtId="0" fontId="5" fillId="0" borderId="22" xfId="2" applyBorder="1"/>
    <xf numFmtId="0" fontId="5" fillId="0" borderId="23" xfId="2" applyBorder="1"/>
    <xf numFmtId="0" fontId="5" fillId="0" borderId="25" xfId="2" applyBorder="1"/>
    <xf numFmtId="184" fontId="6" fillId="4" borderId="3" xfId="2" applyNumberFormat="1" applyFont="1" applyFill="1" applyBorder="1" applyAlignment="1" applyProtection="1">
      <alignment horizontal="left" vertical="center" indent="1"/>
    </xf>
    <xf numFmtId="185" fontId="6" fillId="4" borderId="3" xfId="2" applyNumberFormat="1" applyFont="1" applyFill="1" applyBorder="1" applyAlignment="1" applyProtection="1">
      <alignment horizontal="left" vertical="center" indent="1"/>
    </xf>
    <xf numFmtId="169" fontId="6" fillId="0" borderId="37" xfId="2" applyNumberFormat="1" applyFont="1" applyBorder="1" applyAlignment="1" applyProtection="1">
      <alignment horizontal="right" vertical="center"/>
    </xf>
    <xf numFmtId="175" fontId="6" fillId="4" borderId="56" xfId="2" applyNumberFormat="1" applyFont="1" applyFill="1" applyBorder="1" applyAlignment="1" applyProtection="1">
      <alignment horizontal="left" vertical="center" indent="1"/>
    </xf>
    <xf numFmtId="0" fontId="6" fillId="0" borderId="37" xfId="2" applyFont="1" applyFill="1" applyBorder="1" applyAlignment="1" applyProtection="1">
      <alignment horizontal="center" vertical="center"/>
    </xf>
    <xf numFmtId="170" fontId="6" fillId="0" borderId="37" xfId="2" applyNumberFormat="1" applyFont="1" applyBorder="1" applyAlignment="1" applyProtection="1">
      <alignment horizontal="right" vertical="center"/>
    </xf>
    <xf numFmtId="174" fontId="6" fillId="4" borderId="56" xfId="2" applyNumberFormat="1" applyFont="1" applyFill="1" applyBorder="1" applyAlignment="1" applyProtection="1">
      <alignment horizontal="left" vertical="center" indent="1"/>
    </xf>
    <xf numFmtId="0" fontId="28" fillId="0" borderId="57" xfId="2" applyFont="1" applyBorder="1" applyAlignment="1" applyProtection="1">
      <alignment horizontal="right" vertical="center" wrapText="1"/>
    </xf>
    <xf numFmtId="0" fontId="28" fillId="12" borderId="8" xfId="2" applyFont="1" applyFill="1" applyBorder="1" applyAlignment="1" applyProtection="1">
      <alignment horizontal="right" vertical="center" wrapText="1"/>
    </xf>
    <xf numFmtId="180" fontId="42" fillId="7" borderId="0" xfId="0" applyNumberFormat="1" applyFont="1" applyFill="1" applyBorder="1" applyAlignment="1">
      <alignment horizontal="center" vertical="center" wrapText="1"/>
    </xf>
    <xf numFmtId="169" fontId="16" fillId="0" borderId="0" xfId="2" applyNumberFormat="1" applyFont="1" applyBorder="1" applyAlignment="1">
      <alignment horizontal="center" vertical="center"/>
    </xf>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176" fontId="6" fillId="4" borderId="56" xfId="2" applyNumberFormat="1" applyFont="1" applyFill="1" applyBorder="1" applyAlignment="1" applyProtection="1">
      <alignment horizontal="left" vertical="center" indent="1"/>
    </xf>
    <xf numFmtId="0" fontId="6" fillId="9" borderId="10" xfId="2" applyFont="1" applyFill="1" applyBorder="1" applyAlignment="1" applyProtection="1">
      <alignment horizontal="right" vertical="center" indent="1"/>
    </xf>
    <xf numFmtId="0" fontId="6" fillId="9" borderId="20" xfId="2" applyFont="1" applyFill="1" applyBorder="1" applyAlignment="1" applyProtection="1">
      <alignment horizontal="left" vertical="center" indent="1"/>
    </xf>
    <xf numFmtId="0" fontId="6" fillId="9" borderId="12" xfId="2" applyFont="1" applyFill="1" applyBorder="1" applyAlignment="1" applyProtection="1">
      <alignment horizontal="right" vertical="center" indent="1"/>
    </xf>
    <xf numFmtId="0" fontId="6" fillId="9" borderId="13" xfId="2" applyFont="1" applyFill="1" applyBorder="1" applyAlignment="1" applyProtection="1">
      <alignment horizontal="left" vertical="center" indent="1"/>
    </xf>
    <xf numFmtId="0" fontId="6" fillId="9" borderId="22" xfId="2" applyFont="1" applyFill="1" applyBorder="1" applyAlignment="1" applyProtection="1">
      <alignment horizontal="right" vertical="center" indent="1"/>
    </xf>
    <xf numFmtId="0" fontId="6" fillId="9" borderId="23" xfId="2" applyFont="1" applyFill="1" applyBorder="1" applyAlignment="1" applyProtection="1">
      <alignment horizontal="left" vertical="center" indent="1"/>
    </xf>
    <xf numFmtId="0" fontId="28" fillId="9" borderId="11" xfId="2" applyFont="1" applyFill="1" applyBorder="1" applyAlignment="1" applyProtection="1">
      <alignment horizontal="right" vertical="center" indent="1" readingOrder="1"/>
    </xf>
    <xf numFmtId="0" fontId="28" fillId="9" borderId="15" xfId="2" applyFont="1" applyFill="1" applyBorder="1" applyAlignment="1" applyProtection="1">
      <alignment horizontal="right" vertical="center" indent="1" readingOrder="1"/>
    </xf>
    <xf numFmtId="0" fontId="28" fillId="9" borderId="25" xfId="2" applyFont="1" applyFill="1" applyBorder="1" applyAlignment="1" applyProtection="1">
      <alignment horizontal="right" vertical="center" indent="1" readingOrder="1"/>
    </xf>
    <xf numFmtId="0" fontId="6" fillId="9" borderId="59" xfId="2" applyFont="1" applyFill="1" applyBorder="1" applyAlignment="1" applyProtection="1">
      <alignment horizontal="right" vertical="center" indent="1"/>
    </xf>
    <xf numFmtId="0" fontId="6" fillId="9" borderId="38" xfId="2" applyFont="1" applyFill="1" applyBorder="1" applyAlignment="1" applyProtection="1">
      <alignment horizontal="right" vertical="center" indent="1"/>
    </xf>
    <xf numFmtId="0" fontId="6" fillId="9" borderId="38" xfId="2" applyFont="1" applyFill="1" applyBorder="1" applyAlignment="1" applyProtection="1">
      <alignment horizontal="right" vertical="center" wrapText="1" indent="1"/>
    </xf>
    <xf numFmtId="0" fontId="20" fillId="9" borderId="38" xfId="2" applyFont="1" applyFill="1" applyBorder="1" applyAlignment="1" applyProtection="1">
      <alignment horizontal="right" vertical="center" indent="1"/>
    </xf>
    <xf numFmtId="0" fontId="6" fillId="9" borderId="15" xfId="2" applyFont="1" applyFill="1" applyBorder="1" applyAlignment="1" applyProtection="1">
      <alignment horizontal="right" vertical="center" wrapText="1" indent="1"/>
    </xf>
    <xf numFmtId="4" fontId="6" fillId="9" borderId="11" xfId="2" applyNumberFormat="1" applyFont="1" applyFill="1" applyBorder="1" applyAlignment="1" applyProtection="1">
      <alignment horizontal="right" vertical="center" indent="1"/>
    </xf>
    <xf numFmtId="0" fontId="6" fillId="9" borderId="3" xfId="2" applyFont="1" applyFill="1" applyBorder="1" applyAlignment="1" applyProtection="1">
      <alignment horizontal="right" vertical="center" indent="1"/>
    </xf>
    <xf numFmtId="0" fontId="6" fillId="9" borderId="26" xfId="2" applyFont="1" applyFill="1" applyBorder="1" applyAlignment="1" applyProtection="1">
      <alignment horizontal="right" vertical="center" indent="1"/>
    </xf>
    <xf numFmtId="0" fontId="6" fillId="9" borderId="27" xfId="2" applyFont="1" applyFill="1" applyBorder="1" applyAlignment="1" applyProtection="1">
      <alignment horizontal="left" vertical="center" indent="1"/>
    </xf>
    <xf numFmtId="0" fontId="6" fillId="9" borderId="11" xfId="2" applyFont="1" applyFill="1" applyBorder="1" applyAlignment="1" applyProtection="1">
      <alignment horizontal="right" vertical="center" indent="1" readingOrder="1"/>
    </xf>
    <xf numFmtId="0" fontId="28" fillId="9" borderId="28" xfId="2" applyFont="1" applyFill="1" applyBorder="1" applyAlignment="1" applyProtection="1">
      <alignment horizontal="right" vertical="center" indent="1" readingOrder="1"/>
    </xf>
    <xf numFmtId="170" fontId="6" fillId="5" borderId="0" xfId="2" applyNumberFormat="1" applyFont="1" applyFill="1" applyBorder="1" applyAlignment="1" applyProtection="1">
      <alignment horizontal="right" vertical="center"/>
    </xf>
    <xf numFmtId="170" fontId="6" fillId="5" borderId="37" xfId="2" applyNumberFormat="1" applyFont="1" applyFill="1" applyBorder="1" applyAlignment="1" applyProtection="1">
      <alignment horizontal="right" vertical="center"/>
    </xf>
    <xf numFmtId="9" fontId="5" fillId="0" borderId="0" xfId="4" applyFont="1"/>
    <xf numFmtId="3" fontId="6" fillId="9" borderId="27" xfId="2" applyNumberFormat="1" applyFont="1" applyFill="1" applyBorder="1" applyAlignment="1" applyProtection="1">
      <alignment horizontal="right" vertical="center" indent="1"/>
    </xf>
    <xf numFmtId="9" fontId="5" fillId="0" borderId="0" xfId="4" applyFont="1" applyProtection="1">
      <protection hidden="1"/>
    </xf>
    <xf numFmtId="186" fontId="42" fillId="7" borderId="51" xfId="0" applyNumberFormat="1" applyFont="1" applyFill="1" applyBorder="1" applyAlignment="1">
      <alignment horizontal="center" vertical="center" wrapText="1"/>
    </xf>
    <xf numFmtId="49" fontId="5" fillId="13" borderId="22" xfId="2" applyNumberFormat="1" applyFill="1" applyBorder="1" applyAlignment="1" applyProtection="1">
      <protection locked="0"/>
    </xf>
    <xf numFmtId="49" fontId="5" fillId="13" borderId="23" xfId="2" applyNumberFormat="1" applyFill="1" applyBorder="1" applyAlignment="1" applyProtection="1">
      <protection locked="0"/>
    </xf>
    <xf numFmtId="2" fontId="5" fillId="13" borderId="23" xfId="2" applyNumberFormat="1" applyFill="1" applyBorder="1" applyProtection="1">
      <protection locked="0"/>
    </xf>
    <xf numFmtId="0" fontId="5" fillId="13" borderId="23" xfId="2" applyFill="1" applyBorder="1" applyAlignment="1" applyProtection="1">
      <alignment horizontal="right"/>
      <protection locked="0"/>
    </xf>
    <xf numFmtId="2" fontId="5" fillId="13" borderId="24" xfId="2" applyNumberFormat="1" applyFill="1" applyBorder="1" applyProtection="1">
      <protection locked="0"/>
    </xf>
    <xf numFmtId="2" fontId="5" fillId="13" borderId="25" xfId="2" applyNumberFormat="1" applyFill="1" applyBorder="1" applyProtection="1">
      <protection locked="0"/>
    </xf>
    <xf numFmtId="0" fontId="47" fillId="0" borderId="0" xfId="0" applyFont="1"/>
    <xf numFmtId="0" fontId="55" fillId="0" borderId="0" xfId="0" applyFont="1"/>
    <xf numFmtId="171" fontId="58" fillId="0" borderId="46" xfId="2" applyNumberFormat="1" applyFont="1" applyFill="1" applyBorder="1" applyAlignment="1">
      <alignment horizontal="center" vertical="top" wrapText="1"/>
    </xf>
    <xf numFmtId="172" fontId="58" fillId="0" borderId="13" xfId="2" applyNumberFormat="1" applyFont="1" applyFill="1" applyBorder="1" applyAlignment="1">
      <alignment horizontal="center" vertical="top" wrapText="1"/>
    </xf>
    <xf numFmtId="0" fontId="59" fillId="6" borderId="46" xfId="2" applyNumberFormat="1" applyFont="1" applyFill="1" applyBorder="1" applyAlignment="1">
      <alignment horizontal="center" vertical="top" wrapText="1"/>
    </xf>
    <xf numFmtId="181" fontId="59" fillId="6" borderId="13" xfId="2" applyNumberFormat="1" applyFont="1" applyFill="1" applyBorder="1" applyAlignment="1">
      <alignment horizontal="center" vertical="top" wrapText="1"/>
    </xf>
    <xf numFmtId="173" fontId="59" fillId="6" borderId="13" xfId="2" applyNumberFormat="1" applyFont="1" applyFill="1" applyBorder="1" applyAlignment="1">
      <alignment horizontal="center" vertical="top" wrapText="1"/>
    </xf>
    <xf numFmtId="182" fontId="58" fillId="7" borderId="46" xfId="2" applyNumberFormat="1" applyFont="1" applyFill="1" applyBorder="1" applyAlignment="1">
      <alignment horizontal="center" vertical="top" wrapText="1"/>
    </xf>
    <xf numFmtId="181" fontId="58" fillId="7" borderId="13" xfId="2" applyNumberFormat="1" applyFont="1" applyFill="1" applyBorder="1" applyAlignment="1">
      <alignment horizontal="center" vertical="top" wrapText="1"/>
    </xf>
    <xf numFmtId="173" fontId="58" fillId="7" borderId="13" xfId="2" applyNumberFormat="1" applyFont="1" applyFill="1" applyBorder="1" applyAlignment="1">
      <alignment horizontal="center" vertical="top" wrapText="1"/>
    </xf>
    <xf numFmtId="171" fontId="59" fillId="6" borderId="46" xfId="2" applyNumberFormat="1" applyFont="1" applyFill="1" applyBorder="1" applyAlignment="1">
      <alignment horizontal="center" vertical="top" wrapText="1"/>
    </xf>
    <xf numFmtId="171" fontId="58" fillId="7" borderId="46" xfId="2" applyNumberFormat="1" applyFont="1" applyFill="1" applyBorder="1" applyAlignment="1">
      <alignment horizontal="center" vertical="top" wrapText="1"/>
    </xf>
    <xf numFmtId="171" fontId="59" fillId="6" borderId="47" xfId="2" applyNumberFormat="1" applyFont="1" applyFill="1" applyBorder="1" applyAlignment="1">
      <alignment horizontal="center" vertical="top" wrapText="1"/>
    </xf>
    <xf numFmtId="0" fontId="13" fillId="6" borderId="64" xfId="2" applyFont="1" applyFill="1" applyBorder="1" applyAlignment="1">
      <alignment horizontal="center" vertical="center" wrapText="1"/>
    </xf>
    <xf numFmtId="172" fontId="58" fillId="0" borderId="12" xfId="2" applyNumberFormat="1" applyFont="1" applyFill="1" applyBorder="1" applyAlignment="1">
      <alignment horizontal="center" vertical="top" wrapText="1"/>
    </xf>
    <xf numFmtId="172" fontId="58" fillId="0" borderId="15" xfId="2" applyNumberFormat="1" applyFont="1" applyFill="1" applyBorder="1" applyAlignment="1">
      <alignment horizontal="center" vertical="top" wrapText="1"/>
    </xf>
    <xf numFmtId="181" fontId="59" fillId="6" borderId="12" xfId="2" applyNumberFormat="1" applyFont="1" applyFill="1" applyBorder="1" applyAlignment="1">
      <alignment horizontal="center" vertical="top" wrapText="1"/>
    </xf>
    <xf numFmtId="181" fontId="58" fillId="7" borderId="12" xfId="2" applyNumberFormat="1" applyFont="1" applyFill="1" applyBorder="1" applyAlignment="1">
      <alignment horizontal="center" vertical="top" wrapText="1"/>
    </xf>
    <xf numFmtId="0" fontId="0" fillId="5" borderId="39" xfId="0" applyFill="1" applyBorder="1"/>
    <xf numFmtId="0" fontId="0" fillId="5" borderId="41" xfId="0" applyFill="1" applyBorder="1"/>
    <xf numFmtId="0" fontId="0" fillId="5" borderId="3" xfId="0" applyFill="1" applyBorder="1"/>
    <xf numFmtId="0" fontId="0" fillId="5" borderId="5" xfId="0" applyFill="1" applyBorder="1"/>
    <xf numFmtId="0" fontId="0" fillId="5" borderId="6" xfId="0" applyFill="1" applyBorder="1"/>
    <xf numFmtId="0" fontId="0" fillId="5" borderId="7" xfId="0" applyFill="1" applyBorder="1"/>
    <xf numFmtId="0" fontId="0" fillId="5" borderId="65" xfId="0" applyFill="1" applyBorder="1"/>
    <xf numFmtId="0" fontId="0" fillId="5" borderId="66" xfId="0" applyFill="1" applyBorder="1"/>
    <xf numFmtId="0" fontId="0" fillId="5" borderId="8" xfId="0" applyFill="1" applyBorder="1"/>
    <xf numFmtId="0" fontId="13" fillId="6" borderId="13" xfId="2" applyFont="1" applyFill="1" applyBorder="1" applyAlignment="1">
      <alignment horizontal="center" vertical="center" wrapText="1"/>
    </xf>
    <xf numFmtId="0" fontId="13" fillId="6" borderId="12" xfId="2" applyFont="1" applyFill="1" applyBorder="1" applyAlignment="1">
      <alignment horizontal="center" vertical="center" wrapText="1"/>
    </xf>
    <xf numFmtId="0" fontId="13" fillId="6" borderId="15" xfId="2" applyFont="1" applyFill="1" applyBorder="1" applyAlignment="1">
      <alignment horizontal="center" vertical="center" wrapText="1"/>
    </xf>
    <xf numFmtId="181" fontId="59" fillId="6" borderId="13" xfId="2" applyNumberFormat="1" applyFont="1" applyFill="1" applyBorder="1" applyAlignment="1" applyProtection="1">
      <alignment horizontal="center" vertical="top" wrapText="1"/>
      <protection locked="0"/>
    </xf>
    <xf numFmtId="173" fontId="59" fillId="6" borderId="13" xfId="2" applyNumberFormat="1" applyFont="1" applyFill="1" applyBorder="1" applyAlignment="1" applyProtection="1">
      <alignment horizontal="center" vertical="top" wrapText="1"/>
      <protection locked="0"/>
    </xf>
    <xf numFmtId="173" fontId="59" fillId="6" borderId="15" xfId="2" applyNumberFormat="1" applyFont="1" applyFill="1" applyBorder="1" applyAlignment="1" applyProtection="1">
      <alignment horizontal="center" vertical="top" wrapText="1"/>
      <protection locked="0"/>
    </xf>
    <xf numFmtId="181" fontId="58" fillId="7" borderId="13" xfId="2" applyNumberFormat="1" applyFont="1" applyFill="1" applyBorder="1" applyAlignment="1" applyProtection="1">
      <alignment horizontal="center" vertical="top" wrapText="1"/>
      <protection locked="0"/>
    </xf>
    <xf numFmtId="173" fontId="58" fillId="7" borderId="13" xfId="2" applyNumberFormat="1" applyFont="1" applyFill="1" applyBorder="1" applyAlignment="1" applyProtection="1">
      <alignment horizontal="center" vertical="top" wrapText="1"/>
      <protection locked="0"/>
    </xf>
    <xf numFmtId="173" fontId="58" fillId="7" borderId="15" xfId="2" applyNumberFormat="1" applyFont="1" applyFill="1" applyBorder="1" applyAlignment="1" applyProtection="1">
      <alignment horizontal="center" vertical="top" wrapText="1"/>
      <protection locked="0"/>
    </xf>
    <xf numFmtId="0" fontId="45" fillId="0" borderId="40" xfId="0" applyFont="1" applyBorder="1" applyAlignment="1">
      <alignment horizontal="right" indent="1" readingOrder="2"/>
    </xf>
    <xf numFmtId="0" fontId="45" fillId="0" borderId="0" xfId="0" applyFont="1" applyBorder="1" applyAlignment="1">
      <alignment horizontal="right" indent="1" readingOrder="2"/>
    </xf>
    <xf numFmtId="0" fontId="45" fillId="0" borderId="37" xfId="0" applyFont="1" applyBorder="1" applyAlignment="1">
      <alignment horizontal="right" indent="1" readingOrder="2"/>
    </xf>
    <xf numFmtId="0" fontId="45" fillId="0" borderId="40" xfId="0" applyFont="1" applyBorder="1" applyAlignment="1">
      <alignment horizontal="right"/>
    </xf>
    <xf numFmtId="0" fontId="45" fillId="0" borderId="0" xfId="0" applyFont="1" applyBorder="1" applyAlignment="1">
      <alignment horizontal="right"/>
    </xf>
    <xf numFmtId="0" fontId="45" fillId="0" borderId="37" xfId="0" applyFont="1" applyBorder="1" applyAlignment="1">
      <alignment horizontal="right"/>
    </xf>
    <xf numFmtId="0" fontId="46" fillId="0" borderId="0" xfId="2" applyFont="1" applyBorder="1" applyAlignment="1">
      <alignment horizontal="center" vertical="center"/>
    </xf>
    <xf numFmtId="0" fontId="51" fillId="0" borderId="0" xfId="2" applyFont="1" applyBorder="1" applyAlignment="1">
      <alignment horizontal="center" vertical="center"/>
    </xf>
    <xf numFmtId="0" fontId="17" fillId="0" borderId="0" xfId="2" applyFont="1" applyBorder="1" applyAlignment="1">
      <alignment horizontal="center" vertical="center"/>
    </xf>
    <xf numFmtId="0" fontId="47" fillId="13" borderId="18" xfId="0" applyFont="1" applyFill="1" applyBorder="1" applyAlignment="1">
      <alignment horizontal="left" vertical="center"/>
    </xf>
    <xf numFmtId="0" fontId="45" fillId="13" borderId="40" xfId="0" applyFont="1" applyFill="1" applyBorder="1" applyAlignment="1">
      <alignment horizontal="right"/>
    </xf>
    <xf numFmtId="0" fontId="45" fillId="13" borderId="40" xfId="0" applyFont="1" applyFill="1" applyBorder="1" applyAlignment="1">
      <alignment horizontal="right" indent="1" readingOrder="2"/>
    </xf>
    <xf numFmtId="0" fontId="45" fillId="13" borderId="40" xfId="0" applyFont="1" applyFill="1" applyBorder="1"/>
    <xf numFmtId="0" fontId="47" fillId="13" borderId="43" xfId="0" applyFont="1" applyFill="1" applyBorder="1"/>
    <xf numFmtId="0" fontId="47" fillId="13" borderId="45" xfId="0" applyFont="1" applyFill="1" applyBorder="1" applyAlignment="1">
      <alignment horizontal="left" vertical="center"/>
    </xf>
    <xf numFmtId="0" fontId="45" fillId="13" borderId="37" xfId="0" applyFont="1" applyFill="1" applyBorder="1" applyAlignment="1">
      <alignment horizontal="right"/>
    </xf>
    <xf numFmtId="0" fontId="45" fillId="13" borderId="37" xfId="0" applyFont="1" applyFill="1" applyBorder="1" applyAlignment="1">
      <alignment horizontal="right" indent="1" readingOrder="2"/>
    </xf>
    <xf numFmtId="0" fontId="45" fillId="13" borderId="37" xfId="0" applyFont="1" applyFill="1" applyBorder="1"/>
    <xf numFmtId="0" fontId="47" fillId="13" borderId="44" xfId="0" applyFont="1" applyFill="1" applyBorder="1"/>
    <xf numFmtId="0" fontId="20" fillId="0" borderId="0" xfId="2" applyFont="1" applyAlignment="1" applyProtection="1">
      <alignment horizontal="right" vertical="center" indent="1"/>
    </xf>
    <xf numFmtId="0" fontId="6" fillId="0" borderId="13" xfId="2" applyFont="1" applyBorder="1" applyAlignment="1" applyProtection="1">
      <alignment horizontal="center" vertical="center"/>
      <protection locked="0" hidden="1"/>
    </xf>
    <xf numFmtId="9" fontId="6" fillId="5" borderId="13" xfId="4" applyFont="1" applyFill="1" applyBorder="1" applyAlignment="1" applyProtection="1">
      <alignment horizontal="right" vertical="center" indent="1"/>
      <protection locked="0"/>
    </xf>
    <xf numFmtId="0" fontId="6" fillId="0" borderId="0" xfId="2" applyNumberFormat="1" applyFont="1" applyFill="1" applyBorder="1" applyAlignment="1" applyProtection="1">
      <alignment horizontal="right" vertical="center"/>
    </xf>
    <xf numFmtId="0" fontId="6" fillId="9" borderId="60" xfId="2" applyFont="1" applyFill="1" applyBorder="1" applyAlignment="1" applyProtection="1">
      <alignment horizontal="right" vertical="center" wrapText="1" indent="1"/>
    </xf>
    <xf numFmtId="0" fontId="16" fillId="9" borderId="25" xfId="2" applyFont="1" applyFill="1" applyBorder="1" applyAlignment="1" applyProtection="1">
      <alignment horizontal="right" vertical="center" indent="1" readingOrder="1"/>
    </xf>
    <xf numFmtId="0" fontId="16" fillId="9" borderId="15" xfId="2" applyFont="1" applyFill="1" applyBorder="1" applyAlignment="1" applyProtection="1">
      <alignment horizontal="right" vertical="center" indent="1" readingOrder="1"/>
    </xf>
    <xf numFmtId="3" fontId="6" fillId="5" borderId="20" xfId="2" applyNumberFormat="1" applyFont="1" applyFill="1" applyBorder="1" applyAlignment="1" applyProtection="1">
      <alignment horizontal="right" vertical="center" indent="1"/>
      <protection locked="0"/>
    </xf>
    <xf numFmtId="0" fontId="6" fillId="0" borderId="1" xfId="2" applyFont="1" applyBorder="1" applyAlignment="1" applyProtection="1">
      <alignment horizontal="right" vertical="center" indent="1"/>
    </xf>
    <xf numFmtId="0" fontId="6" fillId="0" borderId="2" xfId="2" applyFont="1" applyBorder="1" applyAlignment="1" applyProtection="1">
      <alignment horizontal="left" vertical="center" indent="1"/>
    </xf>
    <xf numFmtId="169" fontId="6" fillId="0" borderId="2" xfId="2" applyNumberFormat="1" applyFont="1" applyBorder="1" applyAlignment="1" applyProtection="1">
      <alignment horizontal="right" vertical="center"/>
    </xf>
    <xf numFmtId="0" fontId="28" fillId="0" borderId="4" xfId="2" applyFont="1" applyBorder="1" applyAlignment="1" applyProtection="1">
      <alignment horizontal="right" vertical="center" readingOrder="1"/>
    </xf>
    <xf numFmtId="187" fontId="28" fillId="4" borderId="8" xfId="2" applyNumberFormat="1" applyFont="1" applyFill="1" applyBorder="1" applyAlignment="1" applyProtection="1">
      <alignment horizontal="right" vertical="center"/>
    </xf>
    <xf numFmtId="4" fontId="6" fillId="2" borderId="68" xfId="2" applyNumberFormat="1" applyFont="1" applyFill="1" applyBorder="1" applyAlignment="1" applyProtection="1">
      <alignment horizontal="right" vertical="center" indent="1"/>
    </xf>
    <xf numFmtId="4" fontId="6" fillId="2" borderId="36" xfId="2" applyNumberFormat="1" applyFont="1" applyFill="1" applyBorder="1" applyAlignment="1" applyProtection="1">
      <alignment horizontal="right" vertical="center" indent="1"/>
    </xf>
    <xf numFmtId="170" fontId="6" fillId="0" borderId="0" xfId="2" applyNumberFormat="1" applyFont="1" applyFill="1" applyBorder="1" applyAlignment="1" applyProtection="1">
      <alignment horizontal="right" vertical="center"/>
    </xf>
    <xf numFmtId="183" fontId="6" fillId="0" borderId="7" xfId="2" applyNumberFormat="1" applyFont="1" applyFill="1" applyBorder="1" applyAlignment="1" applyProtection="1">
      <alignment horizontal="right" vertical="center"/>
    </xf>
    <xf numFmtId="189" fontId="6" fillId="0" borderId="0" xfId="5" applyNumberFormat="1" applyFont="1" applyBorder="1" applyAlignment="1" applyProtection="1">
      <alignment horizontal="right" vertical="center"/>
    </xf>
    <xf numFmtId="0" fontId="6" fillId="0" borderId="0" xfId="2" applyFont="1" applyBorder="1" applyAlignment="1" applyProtection="1">
      <alignment horizontal="left" vertical="center"/>
    </xf>
    <xf numFmtId="43" fontId="16" fillId="0" borderId="0" xfId="5" applyFont="1"/>
    <xf numFmtId="0" fontId="60" fillId="0" borderId="0" xfId="0" applyFont="1"/>
    <xf numFmtId="0" fontId="49" fillId="0" borderId="0" xfId="0" applyFont="1"/>
    <xf numFmtId="0" fontId="49" fillId="0" borderId="0" xfId="0" applyFont="1" applyAlignment="1">
      <alignment horizontal="right"/>
    </xf>
    <xf numFmtId="0" fontId="60" fillId="0" borderId="0" xfId="0" applyNumberFormat="1" applyFont="1"/>
    <xf numFmtId="0" fontId="60" fillId="0" borderId="0" xfId="0" applyFont="1" applyAlignment="1">
      <alignment horizontal="left"/>
    </xf>
    <xf numFmtId="0" fontId="60" fillId="0" borderId="0" xfId="0" applyFont="1" applyAlignment="1">
      <alignment horizontal="center"/>
    </xf>
    <xf numFmtId="0" fontId="60" fillId="0" borderId="0" xfId="0" applyFont="1" applyAlignment="1">
      <alignment horizontal="right"/>
    </xf>
    <xf numFmtId="49" fontId="60" fillId="0" borderId="0" xfId="0" applyNumberFormat="1" applyFont="1" applyAlignment="1">
      <alignment readingOrder="2"/>
    </xf>
    <xf numFmtId="49" fontId="60" fillId="0" borderId="0" xfId="0" applyNumberFormat="1" applyFont="1" applyAlignment="1">
      <alignment horizontal="right" readingOrder="2"/>
    </xf>
    <xf numFmtId="0" fontId="6" fillId="0" borderId="13" xfId="2" applyNumberFormat="1" applyFont="1" applyBorder="1" applyAlignment="1" applyProtection="1">
      <alignment horizontal="right" vertical="center" indent="1" readingOrder="1"/>
      <protection locked="0"/>
    </xf>
    <xf numFmtId="170" fontId="17" fillId="0" borderId="0" xfId="2" applyNumberFormat="1" applyFont="1" applyFill="1" applyBorder="1" applyAlignment="1" applyProtection="1">
      <alignment horizontal="right" vertical="center" readingOrder="1"/>
    </xf>
    <xf numFmtId="0" fontId="64" fillId="0" borderId="0" xfId="0" applyFont="1"/>
    <xf numFmtId="0" fontId="66" fillId="0" borderId="44" xfId="0" applyFont="1" applyBorder="1"/>
    <xf numFmtId="0" fontId="66" fillId="0" borderId="38" xfId="0" applyFont="1" applyBorder="1"/>
    <xf numFmtId="0" fontId="66" fillId="0" borderId="13" xfId="0" applyFont="1" applyBorder="1"/>
    <xf numFmtId="0" fontId="66" fillId="0" borderId="14" xfId="0" applyFont="1" applyBorder="1"/>
    <xf numFmtId="0" fontId="66" fillId="0" borderId="43" xfId="0" applyFont="1" applyBorder="1"/>
    <xf numFmtId="0" fontId="66" fillId="0" borderId="17" xfId="0" applyFont="1" applyBorder="1"/>
    <xf numFmtId="0" fontId="66" fillId="0" borderId="18" xfId="0" applyFont="1" applyBorder="1"/>
    <xf numFmtId="0" fontId="66" fillId="0" borderId="45" xfId="0" applyFont="1" applyBorder="1" applyAlignment="1">
      <alignment wrapText="1"/>
    </xf>
    <xf numFmtId="0" fontId="66" fillId="0" borderId="27" xfId="0" applyFont="1" applyBorder="1" applyAlignment="1">
      <alignment wrapText="1"/>
    </xf>
    <xf numFmtId="3" fontId="6" fillId="0" borderId="13" xfId="2" applyNumberFormat="1" applyFont="1" applyFill="1" applyBorder="1" applyAlignment="1" applyProtection="1">
      <alignment horizontal="right" vertical="center" indent="1"/>
      <protection locked="0"/>
    </xf>
    <xf numFmtId="164" fontId="54" fillId="5" borderId="13" xfId="2" applyNumberFormat="1" applyFont="1" applyFill="1" applyBorder="1" applyAlignment="1" applyProtection="1">
      <alignment horizontal="center" vertical="center"/>
      <protection locked="0" hidden="1"/>
    </xf>
    <xf numFmtId="0" fontId="54" fillId="5" borderId="13" xfId="2" applyNumberFormat="1" applyFont="1" applyFill="1" applyBorder="1" applyAlignment="1" applyProtection="1">
      <alignment horizontal="right" vertical="center" indent="1"/>
      <protection locked="0"/>
    </xf>
    <xf numFmtId="3" fontId="6" fillId="0" borderId="0" xfId="2" applyNumberFormat="1" applyFont="1" applyFill="1" applyBorder="1" applyAlignment="1" applyProtection="1">
      <alignment horizontal="right" vertical="center"/>
    </xf>
    <xf numFmtId="0" fontId="28" fillId="0" borderId="5" xfId="2" applyFont="1" applyFill="1" applyBorder="1" applyAlignment="1" applyProtection="1">
      <alignment horizontal="right" vertical="center" readingOrder="1"/>
    </xf>
    <xf numFmtId="4" fontId="6" fillId="0" borderId="0" xfId="2" applyNumberFormat="1" applyFont="1" applyFill="1" applyBorder="1" applyAlignment="1" applyProtection="1">
      <alignment horizontal="right" vertical="center"/>
    </xf>
    <xf numFmtId="164" fontId="6" fillId="0" borderId="0" xfId="2" applyNumberFormat="1" applyFont="1" applyFill="1" applyBorder="1" applyAlignment="1" applyProtection="1">
      <alignment horizontal="right" vertical="center"/>
    </xf>
    <xf numFmtId="4" fontId="28" fillId="0" borderId="5" xfId="2" applyNumberFormat="1" applyFont="1" applyFill="1" applyBorder="1" applyAlignment="1" applyProtection="1">
      <alignment horizontal="right" vertical="center"/>
    </xf>
    <xf numFmtId="0" fontId="6" fillId="0" borderId="6" xfId="2" applyFont="1" applyFill="1" applyBorder="1" applyAlignment="1" applyProtection="1">
      <alignment horizontal="right" vertical="center" indent="1"/>
    </xf>
    <xf numFmtId="167" fontId="6" fillId="0" borderId="7" xfId="2" applyNumberFormat="1" applyFont="1" applyFill="1" applyBorder="1" applyAlignment="1" applyProtection="1">
      <alignment horizontal="right" vertical="center"/>
    </xf>
    <xf numFmtId="0" fontId="28" fillId="0" borderId="8" xfId="2" applyFont="1" applyFill="1" applyBorder="1" applyAlignment="1" applyProtection="1">
      <alignment horizontal="right" vertical="center" readingOrder="1"/>
    </xf>
    <xf numFmtId="4" fontId="6" fillId="0" borderId="0" xfId="1" applyNumberFormat="1" applyFont="1" applyFill="1" applyBorder="1" applyAlignment="1" applyProtection="1">
      <alignment horizontal="right" vertical="center"/>
    </xf>
    <xf numFmtId="164" fontId="6" fillId="0" borderId="0" xfId="1" applyNumberFormat="1" applyFont="1" applyFill="1" applyBorder="1" applyAlignment="1" applyProtection="1">
      <alignment horizontal="right" vertical="center"/>
    </xf>
    <xf numFmtId="4" fontId="6" fillId="0" borderId="37" xfId="1" applyNumberFormat="1" applyFont="1" applyFill="1" applyBorder="1" applyAlignment="1" applyProtection="1">
      <alignment horizontal="right" vertical="center"/>
    </xf>
    <xf numFmtId="3" fontId="6" fillId="0" borderId="0" xfId="1" applyNumberFormat="1" applyFont="1" applyFill="1" applyBorder="1" applyAlignment="1" applyProtection="1">
      <alignment horizontal="right" vertical="center"/>
    </xf>
    <xf numFmtId="167" fontId="6" fillId="0" borderId="0" xfId="1" applyNumberFormat="1" applyFont="1" applyFill="1" applyBorder="1" applyAlignment="1" applyProtection="1">
      <alignment horizontal="right" vertical="center"/>
    </xf>
    <xf numFmtId="4" fontId="6" fillId="0" borderId="40" xfId="2" applyNumberFormat="1" applyFont="1" applyFill="1" applyBorder="1" applyAlignment="1" applyProtection="1">
      <alignment horizontal="right" vertical="center"/>
    </xf>
    <xf numFmtId="167" fontId="6" fillId="0" borderId="7" xfId="1" applyNumberFormat="1" applyFont="1" applyFill="1" applyBorder="1" applyAlignment="1" applyProtection="1">
      <alignment horizontal="right" vertical="center"/>
    </xf>
    <xf numFmtId="4" fontId="6" fillId="0" borderId="40" xfId="1" applyNumberFormat="1" applyFont="1" applyFill="1" applyBorder="1" applyAlignment="1" applyProtection="1">
      <alignment horizontal="right" vertical="center"/>
    </xf>
    <xf numFmtId="0" fontId="26" fillId="0" borderId="5" xfId="2" applyFont="1" applyFill="1" applyBorder="1" applyAlignment="1" applyProtection="1">
      <alignment horizontal="right" vertical="center" readingOrder="1"/>
    </xf>
    <xf numFmtId="0" fontId="26" fillId="0" borderId="5" xfId="2" applyNumberFormat="1" applyFont="1" applyFill="1" applyBorder="1" applyAlignment="1" applyProtection="1">
      <alignment horizontal="right" vertical="center"/>
    </xf>
    <xf numFmtId="0" fontId="6" fillId="5" borderId="0" xfId="2" applyFont="1" applyFill="1" applyBorder="1" applyAlignment="1" applyProtection="1">
      <alignment horizontal="right" vertical="center"/>
    </xf>
    <xf numFmtId="0" fontId="6" fillId="5" borderId="0" xfId="2" applyFont="1" applyFill="1" applyBorder="1" applyAlignment="1" applyProtection="1">
      <alignment horizontal="center" vertical="center"/>
    </xf>
    <xf numFmtId="4" fontId="6" fillId="5" borderId="0" xfId="2" applyNumberFormat="1" applyFont="1" applyFill="1" applyBorder="1" applyAlignment="1" applyProtection="1">
      <alignment horizontal="center" vertical="center"/>
    </xf>
    <xf numFmtId="0" fontId="10" fillId="5" borderId="0" xfId="2" applyFont="1" applyFill="1" applyBorder="1" applyAlignment="1" applyProtection="1">
      <alignment horizontal="center" vertical="center"/>
    </xf>
    <xf numFmtId="170" fontId="6" fillId="0" borderId="7" xfId="2" applyNumberFormat="1" applyFont="1" applyFill="1" applyBorder="1" applyAlignment="1" applyProtection="1">
      <alignment horizontal="right" vertical="center"/>
    </xf>
    <xf numFmtId="0" fontId="6" fillId="5" borderId="70" xfId="2" applyFont="1" applyFill="1" applyBorder="1" applyAlignment="1" applyProtection="1">
      <alignment horizontal="right" vertical="center" shrinkToFit="1"/>
    </xf>
    <xf numFmtId="0" fontId="6" fillId="5" borderId="73" xfId="2" applyFont="1" applyFill="1" applyBorder="1" applyAlignment="1" applyProtection="1">
      <alignment horizontal="right" vertical="center" shrinkToFit="1"/>
    </xf>
    <xf numFmtId="0" fontId="6" fillId="5" borderId="79" xfId="2" applyFont="1" applyFill="1" applyBorder="1" applyAlignment="1" applyProtection="1">
      <alignment horizontal="right" vertical="center" shrinkToFit="1"/>
    </xf>
    <xf numFmtId="0" fontId="6" fillId="5" borderId="76" xfId="2" applyFont="1" applyFill="1" applyBorder="1" applyAlignment="1" applyProtection="1">
      <alignment horizontal="right" vertical="center" shrinkToFit="1"/>
    </xf>
    <xf numFmtId="0" fontId="6" fillId="0" borderId="1" xfId="2" applyFont="1" applyFill="1" applyBorder="1" applyAlignment="1" applyProtection="1">
      <alignment horizontal="right" vertical="center" shrinkToFit="1"/>
    </xf>
    <xf numFmtId="0" fontId="6" fillId="0" borderId="3" xfId="2" applyFont="1" applyFill="1" applyBorder="1" applyAlignment="1" applyProtection="1">
      <alignment horizontal="right" vertical="center" shrinkToFit="1"/>
    </xf>
    <xf numFmtId="0" fontId="6" fillId="0" borderId="6" xfId="2" applyFont="1" applyFill="1" applyBorder="1" applyAlignment="1" applyProtection="1">
      <alignment horizontal="right" vertical="center" shrinkToFit="1"/>
    </xf>
    <xf numFmtId="0" fontId="6" fillId="0" borderId="56" xfId="2" applyFont="1" applyFill="1" applyBorder="1" applyAlignment="1" applyProtection="1">
      <alignment horizontal="right" vertical="center" shrinkToFit="1"/>
    </xf>
    <xf numFmtId="4" fontId="6" fillId="9" borderId="39" xfId="2" applyNumberFormat="1" applyFont="1" applyFill="1" applyBorder="1" applyAlignment="1" applyProtection="1">
      <alignment horizontal="right" vertical="center" shrinkToFit="1"/>
    </xf>
    <xf numFmtId="0" fontId="6" fillId="9" borderId="6" xfId="2" applyFont="1" applyFill="1" applyBorder="1" applyAlignment="1" applyProtection="1">
      <alignment horizontal="center" vertical="center" shrinkToFit="1"/>
    </xf>
    <xf numFmtId="0" fontId="6" fillId="9" borderId="7" xfId="2" applyFont="1" applyFill="1" applyBorder="1" applyAlignment="1" applyProtection="1">
      <alignment horizontal="left" vertical="center" shrinkToFit="1"/>
    </xf>
    <xf numFmtId="0" fontId="6" fillId="9" borderId="7" xfId="2" applyFont="1" applyFill="1" applyBorder="1" applyAlignment="1" applyProtection="1">
      <alignment horizontal="right" vertical="center" shrinkToFit="1"/>
    </xf>
    <xf numFmtId="0" fontId="6" fillId="9" borderId="8" xfId="2" applyFont="1" applyFill="1" applyBorder="1" applyAlignment="1" applyProtection="1">
      <alignment horizontal="center" vertical="center" shrinkToFit="1"/>
    </xf>
    <xf numFmtId="0" fontId="6" fillId="0" borderId="3" xfId="2" applyFont="1" applyBorder="1" applyAlignment="1" applyProtection="1">
      <alignment horizontal="right" vertical="center" shrinkToFit="1"/>
    </xf>
    <xf numFmtId="0" fontId="6" fillId="0" borderId="2" xfId="2" applyFont="1" applyFill="1" applyBorder="1" applyAlignment="1" applyProtection="1">
      <alignment horizontal="left" vertical="center" shrinkToFit="1"/>
    </xf>
    <xf numFmtId="0" fontId="6" fillId="0" borderId="0" xfId="2" applyFont="1" applyFill="1" applyBorder="1" applyAlignment="1" applyProtection="1">
      <alignment horizontal="left" vertical="center" shrinkToFit="1"/>
    </xf>
    <xf numFmtId="0" fontId="6" fillId="0" borderId="7" xfId="2" applyFont="1" applyFill="1" applyBorder="1" applyAlignment="1" applyProtection="1">
      <alignment horizontal="left" vertical="center" shrinkToFit="1"/>
    </xf>
    <xf numFmtId="3" fontId="6" fillId="0" borderId="2" xfId="2" applyNumberFormat="1" applyFont="1" applyFill="1" applyBorder="1" applyAlignment="1" applyProtection="1">
      <alignment horizontal="right" vertical="center" shrinkToFit="1"/>
    </xf>
    <xf numFmtId="3" fontId="6" fillId="0" borderId="0" xfId="2" applyNumberFormat="1" applyFont="1" applyFill="1" applyBorder="1" applyAlignment="1" applyProtection="1">
      <alignment horizontal="right" vertical="center" shrinkToFit="1"/>
    </xf>
    <xf numFmtId="4" fontId="6" fillId="0" borderId="0" xfId="2" applyNumberFormat="1" applyFont="1" applyFill="1" applyBorder="1" applyAlignment="1" applyProtection="1">
      <alignment horizontal="right" vertical="center" shrinkToFit="1"/>
    </xf>
    <xf numFmtId="9" fontId="6" fillId="0" borderId="7" xfId="4" applyFont="1" applyFill="1" applyBorder="1" applyAlignment="1" applyProtection="1">
      <alignment horizontal="right" vertical="center" shrinkToFit="1"/>
    </xf>
    <xf numFmtId="0" fontId="6" fillId="0" borderId="5" xfId="2" applyFont="1" applyFill="1" applyBorder="1" applyAlignment="1" applyProtection="1">
      <alignment horizontal="right" vertical="center" shrinkToFit="1"/>
    </xf>
    <xf numFmtId="0" fontId="6" fillId="0" borderId="4" xfId="2" applyFont="1" applyFill="1" applyBorder="1" applyAlignment="1" applyProtection="1">
      <alignment horizontal="right" vertical="center" shrinkToFit="1" readingOrder="1"/>
    </xf>
    <xf numFmtId="3" fontId="6" fillId="0" borderId="7" xfId="2" applyNumberFormat="1" applyFont="1" applyFill="1" applyBorder="1" applyAlignment="1" applyProtection="1">
      <alignment horizontal="right" vertical="center" shrinkToFit="1"/>
    </xf>
    <xf numFmtId="0" fontId="6" fillId="0" borderId="0" xfId="2" applyNumberFormat="1" applyFont="1" applyFill="1" applyBorder="1" applyAlignment="1" applyProtection="1">
      <alignment horizontal="right" vertical="center" shrinkToFit="1"/>
    </xf>
    <xf numFmtId="0" fontId="6" fillId="0" borderId="37" xfId="2" applyFont="1" applyFill="1" applyBorder="1" applyAlignment="1" applyProtection="1">
      <alignment horizontal="left" vertical="center" shrinkToFit="1"/>
    </xf>
    <xf numFmtId="3" fontId="6" fillId="0" borderId="37" xfId="2" applyNumberFormat="1" applyFont="1" applyFill="1" applyBorder="1" applyAlignment="1" applyProtection="1">
      <alignment horizontal="right" vertical="center" shrinkToFit="1"/>
    </xf>
    <xf numFmtId="0" fontId="6" fillId="0" borderId="37" xfId="2" applyNumberFormat="1" applyFont="1" applyFill="1" applyBorder="1" applyAlignment="1" applyProtection="1">
      <alignment horizontal="right" vertical="center" shrinkToFit="1"/>
    </xf>
    <xf numFmtId="164" fontId="6" fillId="0" borderId="7" xfId="2" applyNumberFormat="1" applyFont="1" applyFill="1" applyBorder="1" applyAlignment="1" applyProtection="1">
      <alignment horizontal="right" vertical="center" shrinkToFit="1"/>
    </xf>
    <xf numFmtId="0" fontId="6" fillId="0" borderId="0" xfId="2" applyFont="1" applyBorder="1" applyAlignment="1" applyProtection="1">
      <alignment horizontal="left" vertical="center" shrinkToFit="1"/>
    </xf>
    <xf numFmtId="3" fontId="6" fillId="0" borderId="0" xfId="2" applyNumberFormat="1" applyFont="1" applyBorder="1" applyAlignment="1" applyProtection="1">
      <alignment horizontal="right" vertical="center" shrinkToFit="1"/>
    </xf>
    <xf numFmtId="0" fontId="6" fillId="0" borderId="7" xfId="2" applyFont="1" applyBorder="1" applyAlignment="1" applyProtection="1">
      <alignment horizontal="left" vertical="center" shrinkToFit="1"/>
    </xf>
    <xf numFmtId="3" fontId="6" fillId="0" borderId="7" xfId="2" applyNumberFormat="1" applyFont="1" applyBorder="1" applyAlignment="1" applyProtection="1">
      <alignment horizontal="right" vertical="center" shrinkToFit="1"/>
    </xf>
    <xf numFmtId="0" fontId="4" fillId="0" borderId="0" xfId="0" applyFont="1" applyAlignment="1" applyProtection="1">
      <alignment shrinkToFit="1"/>
    </xf>
    <xf numFmtId="0" fontId="6" fillId="5" borderId="0" xfId="2" applyFont="1" applyFill="1" applyBorder="1" applyAlignment="1" applyProtection="1">
      <alignment horizontal="right" vertical="center" shrinkToFit="1"/>
    </xf>
    <xf numFmtId="3" fontId="6" fillId="9" borderId="30" xfId="2" applyNumberFormat="1" applyFont="1" applyFill="1" applyBorder="1" applyAlignment="1" applyProtection="1">
      <alignment horizontal="center" vertical="center" textRotation="90" shrinkToFit="1" readingOrder="2"/>
    </xf>
    <xf numFmtId="3" fontId="6" fillId="5" borderId="0" xfId="2" applyNumberFormat="1" applyFont="1" applyFill="1" applyBorder="1" applyAlignment="1" applyProtection="1">
      <alignment horizontal="right" vertical="center" shrinkToFit="1" readingOrder="2"/>
    </xf>
    <xf numFmtId="49" fontId="6" fillId="5" borderId="0" xfId="2" applyNumberFormat="1" applyFont="1" applyFill="1" applyBorder="1" applyAlignment="1" applyProtection="1">
      <alignment horizontal="right" vertical="center" shrinkToFit="1"/>
    </xf>
    <xf numFmtId="0" fontId="6" fillId="9" borderId="69" xfId="2" applyFont="1" applyFill="1" applyBorder="1" applyAlignment="1" applyProtection="1">
      <alignment horizontal="center" vertical="center" textRotation="90" shrinkToFit="1"/>
    </xf>
    <xf numFmtId="0" fontId="6" fillId="9" borderId="31" xfId="2" applyFont="1" applyFill="1" applyBorder="1" applyAlignment="1" applyProtection="1">
      <alignment horizontal="center" vertical="center" shrinkToFit="1"/>
    </xf>
    <xf numFmtId="4" fontId="6" fillId="9" borderId="32" xfId="2" applyNumberFormat="1" applyFont="1" applyFill="1" applyBorder="1" applyAlignment="1" applyProtection="1">
      <alignment horizontal="center" vertical="center" shrinkToFit="1"/>
    </xf>
    <xf numFmtId="4" fontId="6" fillId="9" borderId="33" xfId="2" applyNumberFormat="1" applyFont="1" applyFill="1" applyBorder="1" applyAlignment="1" applyProtection="1">
      <alignment horizontal="center" vertical="center" shrinkToFit="1"/>
    </xf>
    <xf numFmtId="4" fontId="6" fillId="5" borderId="0" xfId="2" applyNumberFormat="1" applyFont="1" applyFill="1" applyBorder="1" applyAlignment="1" applyProtection="1">
      <alignment horizontal="right" vertical="center" shrinkToFit="1"/>
    </xf>
    <xf numFmtId="0" fontId="16" fillId="5" borderId="0" xfId="2" applyFont="1" applyFill="1" applyBorder="1" applyAlignment="1" applyProtection="1">
      <alignment horizontal="right" vertical="center" shrinkToFit="1" readingOrder="1"/>
    </xf>
    <xf numFmtId="164" fontId="6" fillId="0" borderId="0" xfId="2" applyNumberFormat="1" applyFont="1" applyFill="1" applyBorder="1" applyAlignment="1" applyProtection="1">
      <alignment horizontal="right" vertical="center" shrinkToFit="1"/>
    </xf>
    <xf numFmtId="167" fontId="6" fillId="0" borderId="0" xfId="2" applyNumberFormat="1" applyFont="1" applyFill="1" applyBorder="1" applyAlignment="1" applyProtection="1">
      <alignment horizontal="right" vertical="center" shrinkToFit="1"/>
    </xf>
    <xf numFmtId="3" fontId="6" fillId="0" borderId="0" xfId="1" applyNumberFormat="1" applyFont="1" applyFill="1" applyBorder="1" applyAlignment="1" applyProtection="1">
      <alignment horizontal="right" vertical="center" shrinkToFit="1"/>
    </xf>
    <xf numFmtId="0" fontId="6" fillId="0" borderId="56" xfId="2" applyFont="1" applyBorder="1" applyAlignment="1" applyProtection="1">
      <alignment horizontal="right" vertical="center" shrinkToFit="1"/>
    </xf>
    <xf numFmtId="0" fontId="6" fillId="0" borderId="37" xfId="2" applyFont="1" applyBorder="1" applyAlignment="1" applyProtection="1">
      <alignment horizontal="left" vertical="center" shrinkToFit="1"/>
    </xf>
    <xf numFmtId="4" fontId="6" fillId="0" borderId="37" xfId="1" applyNumberFormat="1" applyFont="1" applyFill="1" applyBorder="1" applyAlignment="1" applyProtection="1">
      <alignment horizontal="right" vertical="center" shrinkToFit="1"/>
    </xf>
    <xf numFmtId="191" fontId="6" fillId="0" borderId="3" xfId="2" applyNumberFormat="1" applyFont="1" applyFill="1" applyBorder="1" applyAlignment="1" applyProtection="1">
      <alignment horizontal="left" vertical="center" shrinkToFit="1"/>
    </xf>
    <xf numFmtId="4" fontId="6" fillId="0" borderId="0" xfId="1" applyNumberFormat="1" applyFont="1" applyFill="1" applyBorder="1" applyAlignment="1" applyProtection="1">
      <alignment horizontal="right" vertical="center" shrinkToFit="1"/>
    </xf>
    <xf numFmtId="190" fontId="6" fillId="0" borderId="3" xfId="2" applyNumberFormat="1" applyFont="1" applyFill="1" applyBorder="1" applyAlignment="1" applyProtection="1">
      <alignment horizontal="left" vertical="center" shrinkToFit="1"/>
    </xf>
    <xf numFmtId="192" fontId="6" fillId="0" borderId="3" xfId="2" applyNumberFormat="1" applyFont="1" applyFill="1" applyBorder="1" applyAlignment="1" applyProtection="1">
      <alignment horizontal="left" vertical="center" shrinkToFit="1"/>
    </xf>
    <xf numFmtId="193" fontId="6" fillId="0" borderId="3" xfId="2" applyNumberFormat="1" applyFont="1" applyFill="1" applyBorder="1" applyAlignment="1" applyProtection="1">
      <alignment horizontal="left" vertical="center" shrinkToFit="1"/>
    </xf>
    <xf numFmtId="0" fontId="6" fillId="0" borderId="0" xfId="2" applyFont="1" applyFill="1" applyBorder="1" applyAlignment="1" applyProtection="1">
      <alignment horizontal="right" vertical="center" shrinkToFit="1" readingOrder="2"/>
    </xf>
    <xf numFmtId="9" fontId="6" fillId="0" borderId="0" xfId="4" applyFont="1" applyFill="1" applyBorder="1" applyAlignment="1" applyProtection="1">
      <alignment horizontal="right" vertical="center" shrinkToFit="1"/>
    </xf>
    <xf numFmtId="193" fontId="6" fillId="0" borderId="6" xfId="2" applyNumberFormat="1" applyFont="1" applyFill="1" applyBorder="1" applyAlignment="1" applyProtection="1">
      <alignment horizontal="left" vertical="center" shrinkToFit="1"/>
    </xf>
    <xf numFmtId="4" fontId="6" fillId="0" borderId="7" xfId="1" applyNumberFormat="1" applyFont="1" applyFill="1" applyBorder="1" applyAlignment="1" applyProtection="1">
      <alignment horizontal="right" vertical="center" shrinkToFit="1"/>
    </xf>
    <xf numFmtId="0" fontId="6" fillId="0" borderId="2" xfId="2" applyFont="1" applyFill="1" applyBorder="1" applyAlignment="1" applyProtection="1">
      <alignment horizontal="right" vertical="center" shrinkToFit="1" readingOrder="1"/>
    </xf>
    <xf numFmtId="169" fontId="6" fillId="0" borderId="0" xfId="2" applyNumberFormat="1" applyFont="1" applyFill="1" applyBorder="1" applyAlignment="1" applyProtection="1">
      <alignment horizontal="right" vertical="center" shrinkToFit="1"/>
    </xf>
    <xf numFmtId="170" fontId="6" fillId="0" borderId="0" xfId="2" applyNumberFormat="1" applyFont="1" applyFill="1" applyBorder="1" applyAlignment="1" applyProtection="1">
      <alignment horizontal="right" vertical="center" shrinkToFit="1"/>
    </xf>
    <xf numFmtId="170" fontId="6" fillId="0" borderId="40" xfId="2" applyNumberFormat="1" applyFont="1" applyFill="1" applyBorder="1" applyAlignment="1" applyProtection="1">
      <alignment horizontal="right" vertical="center" shrinkToFit="1"/>
    </xf>
    <xf numFmtId="9" fontId="6" fillId="0" borderId="0" xfId="3" applyFont="1" applyFill="1" applyBorder="1" applyAlignment="1" applyProtection="1">
      <alignment horizontal="right" vertical="center" shrinkToFit="1"/>
    </xf>
    <xf numFmtId="170" fontId="6" fillId="0" borderId="7" xfId="2" applyNumberFormat="1" applyFont="1" applyFill="1" applyBorder="1" applyAlignment="1" applyProtection="1">
      <alignment horizontal="right" vertical="center" shrinkToFit="1"/>
    </xf>
    <xf numFmtId="169" fontId="6" fillId="0" borderId="0" xfId="2" applyNumberFormat="1" applyFont="1" applyBorder="1" applyAlignment="1" applyProtection="1">
      <alignment horizontal="right" vertical="center" shrinkToFit="1"/>
    </xf>
    <xf numFmtId="2" fontId="6" fillId="0" borderId="0" xfId="2" applyNumberFormat="1" applyFont="1" applyBorder="1" applyAlignment="1" applyProtection="1">
      <alignment horizontal="right" vertical="center" shrinkToFit="1"/>
    </xf>
    <xf numFmtId="0" fontId="6" fillId="5" borderId="0" xfId="2" applyFont="1" applyFill="1" applyBorder="1" applyAlignment="1" applyProtection="1">
      <alignment horizontal="right" vertical="center" shrinkToFit="1" readingOrder="1"/>
    </xf>
    <xf numFmtId="0" fontId="6" fillId="0" borderId="6" xfId="2" applyFont="1" applyBorder="1" applyAlignment="1" applyProtection="1">
      <alignment horizontal="right" vertical="center" shrinkToFit="1"/>
    </xf>
    <xf numFmtId="169" fontId="6" fillId="0" borderId="7" xfId="2" applyNumberFormat="1" applyFont="1" applyBorder="1" applyAlignment="1" applyProtection="1">
      <alignment horizontal="right" vertical="center" shrinkToFit="1"/>
    </xf>
    <xf numFmtId="9" fontId="6" fillId="0" borderId="0" xfId="4" applyFont="1" applyBorder="1" applyAlignment="1" applyProtection="1">
      <alignment horizontal="right" vertical="center" shrinkToFit="1"/>
    </xf>
    <xf numFmtId="4" fontId="6" fillId="0" borderId="0" xfId="2" applyNumberFormat="1" applyFont="1" applyBorder="1" applyAlignment="1" applyProtection="1">
      <alignment horizontal="right" vertical="center" shrinkToFit="1"/>
    </xf>
    <xf numFmtId="167" fontId="6" fillId="0" borderId="0" xfId="2" applyNumberFormat="1" applyFont="1" applyBorder="1" applyAlignment="1" applyProtection="1">
      <alignment horizontal="right" vertical="center" shrinkToFit="1"/>
    </xf>
    <xf numFmtId="0" fontId="4" fillId="5" borderId="0" xfId="0" applyFont="1" applyFill="1" applyAlignment="1" applyProtection="1">
      <alignment shrinkToFit="1"/>
    </xf>
    <xf numFmtId="167" fontId="6" fillId="0" borderId="7" xfId="2" applyNumberFormat="1" applyFont="1" applyBorder="1" applyAlignment="1" applyProtection="1">
      <alignment horizontal="right" vertical="center" shrinkToFit="1"/>
    </xf>
    <xf numFmtId="0" fontId="4" fillId="0" borderId="0" xfId="0" applyFont="1" applyAlignment="1" applyProtection="1">
      <alignment horizontal="center" shrinkToFit="1"/>
    </xf>
    <xf numFmtId="0" fontId="4" fillId="0" borderId="0" xfId="0" applyFont="1" applyAlignment="1" applyProtection="1">
      <alignment horizontal="right" shrinkToFit="1"/>
    </xf>
    <xf numFmtId="0" fontId="4" fillId="0" borderId="0" xfId="0" applyFont="1" applyAlignment="1" applyProtection="1">
      <alignment horizontal="left" shrinkToFit="1"/>
    </xf>
    <xf numFmtId="0" fontId="6" fillId="0" borderId="0" xfId="2" applyFont="1" applyFill="1" applyBorder="1" applyAlignment="1" applyProtection="1">
      <alignment horizontal="center" vertical="center" textRotation="90" shrinkToFit="1" readingOrder="1"/>
    </xf>
    <xf numFmtId="4" fontId="6" fillId="0" borderId="0" xfId="2" applyNumberFormat="1" applyFont="1" applyFill="1" applyBorder="1" applyAlignment="1" applyProtection="1">
      <alignment horizontal="center" vertical="center" textRotation="90" shrinkToFit="1"/>
    </xf>
    <xf numFmtId="0" fontId="54" fillId="0" borderId="0" xfId="0" applyFont="1" applyFill="1" applyAlignment="1" applyProtection="1">
      <alignment horizontal="center" vertical="center" textRotation="90" shrinkToFit="1"/>
    </xf>
    <xf numFmtId="0" fontId="54" fillId="0" borderId="0" xfId="0" applyFont="1" applyAlignment="1" applyProtection="1">
      <alignment horizontal="center" vertical="center" textRotation="90" shrinkToFit="1"/>
    </xf>
    <xf numFmtId="0" fontId="11" fillId="5" borderId="0" xfId="2" applyFont="1" applyFill="1" applyBorder="1" applyAlignment="1" applyProtection="1">
      <alignment horizontal="center" vertical="center" shrinkToFit="1" readingOrder="2"/>
    </xf>
    <xf numFmtId="3" fontId="6" fillId="9" borderId="30" xfId="2" applyNumberFormat="1" applyFont="1" applyFill="1" applyBorder="1" applyAlignment="1" applyProtection="1">
      <alignment horizontal="center" vertical="center" textRotation="90" shrinkToFit="1" readingOrder="2"/>
    </xf>
    <xf numFmtId="0" fontId="68" fillId="0" borderId="0" xfId="0" applyFont="1" applyAlignment="1" applyProtection="1">
      <alignment shrinkToFit="1"/>
    </xf>
    <xf numFmtId="0" fontId="69" fillId="0" borderId="0" xfId="0" applyFont="1" applyBorder="1" applyAlignment="1">
      <alignment vertical="center"/>
    </xf>
    <xf numFmtId="0" fontId="70" fillId="0" borderId="0" xfId="0" applyFont="1" applyAlignment="1" applyProtection="1">
      <alignment shrinkToFit="1"/>
    </xf>
    <xf numFmtId="0" fontId="6" fillId="0" borderId="2" xfId="2" applyFont="1" applyBorder="1" applyAlignment="1" applyProtection="1">
      <alignment vertical="center" textRotation="90"/>
    </xf>
    <xf numFmtId="0" fontId="50" fillId="0" borderId="45" xfId="0" applyFont="1" applyBorder="1" applyAlignment="1">
      <alignment horizontal="center" vertical="center"/>
    </xf>
    <xf numFmtId="0" fontId="49" fillId="0" borderId="37" xfId="0" applyFont="1" applyBorder="1" applyAlignment="1">
      <alignment horizontal="center"/>
    </xf>
    <xf numFmtId="0" fontId="49" fillId="0" borderId="37" xfId="0" applyFont="1" applyBorder="1" applyAlignment="1">
      <alignment horizontal="right" indent="1"/>
    </xf>
    <xf numFmtId="0" fontId="5" fillId="0" borderId="0" xfId="2" applyFill="1" applyAlignment="1" applyProtection="1">
      <alignment vertical="center"/>
    </xf>
    <xf numFmtId="0" fontId="28" fillId="0" borderId="0" xfId="2" applyFont="1" applyFill="1" applyAlignment="1" applyProtection="1">
      <alignment horizontal="right" vertical="center" indent="1" readingOrder="1"/>
    </xf>
    <xf numFmtId="165" fontId="5" fillId="0" borderId="2" xfId="2" applyNumberFormat="1" applyFill="1" applyBorder="1" applyAlignment="1" applyProtection="1">
      <alignment horizontal="right" vertical="center" indent="1"/>
    </xf>
    <xf numFmtId="169" fontId="16" fillId="0" borderId="23" xfId="2" quotePrefix="1" applyNumberFormat="1" applyFont="1" applyBorder="1" applyAlignment="1">
      <alignment horizontal="center" vertical="center"/>
    </xf>
    <xf numFmtId="0" fontId="6" fillId="0" borderId="32" xfId="2" applyFont="1" applyFill="1" applyBorder="1" applyAlignment="1" applyProtection="1">
      <alignment vertical="center"/>
    </xf>
    <xf numFmtId="4" fontId="6" fillId="9" borderId="40" xfId="2" applyNumberFormat="1" applyFont="1" applyFill="1" applyBorder="1" applyAlignment="1" applyProtection="1">
      <alignment horizontal="center" vertical="center" shrinkToFit="1"/>
    </xf>
    <xf numFmtId="4" fontId="6" fillId="9" borderId="41" xfId="2" applyNumberFormat="1" applyFont="1" applyFill="1" applyBorder="1" applyAlignment="1" applyProtection="1">
      <alignment horizontal="center" vertical="center" shrinkToFit="1"/>
    </xf>
    <xf numFmtId="0" fontId="6" fillId="0" borderId="0" xfId="2" applyFont="1" applyBorder="1" applyAlignment="1" applyProtection="1">
      <alignment horizontal="center" vertical="center" shrinkToFit="1"/>
    </xf>
    <xf numFmtId="0" fontId="6" fillId="0" borderId="7" xfId="2" applyFont="1" applyBorder="1" applyAlignment="1" applyProtection="1">
      <alignment horizontal="center" vertical="center" shrinkToFit="1"/>
    </xf>
    <xf numFmtId="4" fontId="6" fillId="9" borderId="1" xfId="2" applyNumberFormat="1" applyFont="1" applyFill="1" applyBorder="1" applyAlignment="1" applyProtection="1">
      <alignment horizontal="right" vertical="center" shrinkToFit="1"/>
    </xf>
    <xf numFmtId="4" fontId="6" fillId="9" borderId="2" xfId="2" applyNumberFormat="1" applyFont="1" applyFill="1" applyBorder="1" applyAlignment="1" applyProtection="1">
      <alignment horizontal="center" vertical="center" shrinkToFit="1"/>
    </xf>
    <xf numFmtId="4" fontId="6" fillId="9" borderId="4" xfId="2" applyNumberFormat="1" applyFont="1" applyFill="1" applyBorder="1" applyAlignment="1" applyProtection="1">
      <alignment horizontal="center" vertical="center" shrinkToFit="1"/>
    </xf>
    <xf numFmtId="0" fontId="6" fillId="0" borderId="5" xfId="2" applyFont="1" applyBorder="1" applyAlignment="1" applyProtection="1">
      <alignment horizontal="center" vertical="center" shrinkToFit="1"/>
    </xf>
    <xf numFmtId="0" fontId="6" fillId="0" borderId="5" xfId="2" applyFont="1" applyFill="1" applyBorder="1" applyAlignment="1" applyProtection="1">
      <alignment horizontal="center" vertical="center" shrinkToFit="1" readingOrder="1"/>
    </xf>
    <xf numFmtId="0" fontId="6" fillId="0" borderId="5" xfId="2" applyFont="1" applyFill="1" applyBorder="1" applyAlignment="1" applyProtection="1">
      <alignment horizontal="center" vertical="center" shrinkToFit="1"/>
    </xf>
    <xf numFmtId="0" fontId="6" fillId="0" borderId="8" xfId="2" applyFont="1" applyFill="1" applyBorder="1" applyAlignment="1" applyProtection="1">
      <alignment horizontal="center" vertical="center" shrinkToFit="1" readingOrder="1"/>
    </xf>
    <xf numFmtId="3" fontId="6" fillId="0" borderId="0" xfId="2" applyNumberFormat="1" applyFont="1" applyBorder="1" applyAlignment="1" applyProtection="1">
      <alignment horizontal="center" vertical="center" shrinkToFit="1"/>
    </xf>
    <xf numFmtId="3" fontId="6" fillId="0" borderId="7" xfId="2" applyNumberFormat="1" applyFont="1" applyBorder="1" applyAlignment="1" applyProtection="1">
      <alignment horizontal="center" vertical="center" shrinkToFit="1"/>
    </xf>
    <xf numFmtId="0" fontId="60" fillId="0" borderId="0" xfId="0" applyFont="1" applyAlignment="1" applyProtection="1">
      <alignment horizontal="left"/>
      <protection locked="0" hidden="1"/>
    </xf>
    <xf numFmtId="0" fontId="60" fillId="0" borderId="0" xfId="0" applyFont="1" applyAlignment="1" applyProtection="1">
      <alignment horizontal="left"/>
      <protection locked="0"/>
    </xf>
    <xf numFmtId="4" fontId="6" fillId="2" borderId="10" xfId="2" applyNumberFormat="1" applyFont="1" applyFill="1" applyBorder="1" applyAlignment="1" applyProtection="1">
      <alignment horizontal="right" vertical="center" indent="1"/>
    </xf>
    <xf numFmtId="4" fontId="6" fillId="2" borderId="20" xfId="2" applyNumberFormat="1" applyFont="1" applyFill="1" applyBorder="1" applyAlignment="1" applyProtection="1">
      <alignment horizontal="right" vertical="center" indent="1"/>
    </xf>
    <xf numFmtId="0" fontId="8" fillId="0" borderId="15" xfId="2" applyFont="1" applyBorder="1" applyAlignment="1" applyProtection="1">
      <alignment horizontal="right" vertical="center" indent="1" readingOrder="1"/>
      <protection locked="0"/>
    </xf>
    <xf numFmtId="0" fontId="8" fillId="0" borderId="25" xfId="2" applyFont="1" applyBorder="1" applyAlignment="1" applyProtection="1">
      <alignment horizontal="right" vertical="center" indent="1" readingOrder="1"/>
      <protection locked="0"/>
    </xf>
    <xf numFmtId="4" fontId="6" fillId="2" borderId="11" xfId="2" applyNumberFormat="1" applyFont="1" applyFill="1" applyBorder="1" applyAlignment="1" applyProtection="1">
      <alignment horizontal="right" vertical="center" indent="1"/>
    </xf>
    <xf numFmtId="0" fontId="49" fillId="0" borderId="0" xfId="0" applyFont="1" applyFill="1" applyAlignment="1">
      <alignment horizontal="center"/>
    </xf>
    <xf numFmtId="0" fontId="17" fillId="0" borderId="0" xfId="0" applyFont="1" applyFill="1"/>
    <xf numFmtId="0" fontId="16" fillId="9" borderId="5" xfId="2" applyFont="1" applyFill="1" applyBorder="1" applyAlignment="1" applyProtection="1">
      <alignment horizontal="right" vertical="center" indent="2" readingOrder="1"/>
    </xf>
    <xf numFmtId="0" fontId="67" fillId="2" borderId="13" xfId="0" applyFont="1" applyFill="1" applyBorder="1" applyAlignment="1" applyProtection="1">
      <alignment horizontal="center" vertical="center"/>
      <protection hidden="1"/>
    </xf>
    <xf numFmtId="0" fontId="67" fillId="2" borderId="15" xfId="0" applyFont="1" applyFill="1" applyBorder="1" applyAlignment="1" applyProtection="1">
      <alignment horizontal="center" vertical="center"/>
      <protection hidden="1"/>
    </xf>
    <xf numFmtId="9" fontId="5" fillId="0" borderId="0" xfId="2" applyNumberFormat="1"/>
    <xf numFmtId="9" fontId="5" fillId="0" borderId="0" xfId="5" applyNumberFormat="1" applyFont="1" applyProtection="1">
      <protection hidden="1"/>
    </xf>
    <xf numFmtId="0" fontId="6" fillId="9" borderId="39" xfId="2" applyFont="1" applyFill="1" applyBorder="1" applyAlignment="1" applyProtection="1">
      <alignment horizontal="right" vertical="center" shrinkToFit="1"/>
    </xf>
    <xf numFmtId="0" fontId="6" fillId="9" borderId="12" xfId="2" applyFont="1" applyFill="1" applyBorder="1" applyAlignment="1" applyProtection="1">
      <alignment horizontal="right" vertical="center" wrapText="1" indent="1"/>
    </xf>
    <xf numFmtId="0" fontId="6" fillId="0" borderId="5" xfId="2" applyFont="1" applyBorder="1" applyAlignment="1" applyProtection="1">
      <alignment horizontal="center" vertical="center" shrinkToFit="1" readingOrder="1"/>
    </xf>
    <xf numFmtId="194" fontId="6" fillId="0" borderId="6" xfId="2" applyNumberFormat="1" applyFont="1" applyFill="1" applyBorder="1" applyAlignment="1" applyProtection="1">
      <alignment horizontal="left" vertical="center" shrinkToFit="1"/>
    </xf>
    <xf numFmtId="0" fontId="6" fillId="0" borderId="39" xfId="2" applyFont="1" applyBorder="1" applyAlignment="1" applyProtection="1">
      <alignment horizontal="right" vertical="center" shrinkToFit="1"/>
    </xf>
    <xf numFmtId="0" fontId="6" fillId="0" borderId="40" xfId="2" applyFont="1" applyBorder="1" applyAlignment="1" applyProtection="1">
      <alignment horizontal="left" vertical="center" shrinkToFit="1"/>
    </xf>
    <xf numFmtId="169" fontId="6" fillId="0" borderId="40" xfId="2" applyNumberFormat="1" applyFont="1" applyBorder="1" applyAlignment="1" applyProtection="1">
      <alignment horizontal="right" vertical="center" shrinkToFit="1"/>
    </xf>
    <xf numFmtId="3" fontId="6" fillId="0" borderId="40" xfId="1" applyNumberFormat="1" applyFont="1" applyFill="1" applyBorder="1" applyAlignment="1" applyProtection="1">
      <alignment horizontal="right" vertical="center" shrinkToFit="1"/>
    </xf>
    <xf numFmtId="175" fontId="6" fillId="0" borderId="3" xfId="2" applyNumberFormat="1" applyFont="1" applyFill="1" applyBorder="1" applyAlignment="1" applyProtection="1">
      <alignment horizontal="right" vertical="center" shrinkToFit="1"/>
    </xf>
    <xf numFmtId="2" fontId="6" fillId="0" borderId="0" xfId="2" applyNumberFormat="1" applyFont="1" applyFill="1" applyBorder="1" applyAlignment="1" applyProtection="1">
      <alignment horizontal="right" vertical="center" shrinkToFit="1"/>
    </xf>
    <xf numFmtId="0" fontId="4" fillId="0" borderId="0" xfId="0" applyFont="1" applyAlignment="1" applyProtection="1">
      <alignment horizontal="center" wrapText="1"/>
    </xf>
    <xf numFmtId="0" fontId="6" fillId="9" borderId="0" xfId="2" applyFont="1" applyFill="1" applyBorder="1" applyAlignment="1" applyProtection="1">
      <alignment horizontal="center" vertical="center" textRotation="90" shrinkToFit="1" readingOrder="1"/>
    </xf>
    <xf numFmtId="0" fontId="6" fillId="9" borderId="9" xfId="2" applyFont="1" applyFill="1" applyBorder="1" applyAlignment="1" applyProtection="1">
      <alignment vertical="center" textRotation="90" shrinkToFit="1"/>
    </xf>
    <xf numFmtId="0" fontId="6" fillId="0" borderId="0" xfId="2" applyFont="1" applyFill="1" applyBorder="1" applyAlignment="1" applyProtection="1">
      <alignment vertical="center" shrinkToFit="1"/>
    </xf>
    <xf numFmtId="0" fontId="6" fillId="0" borderId="0" xfId="2" applyFont="1" applyFill="1" applyBorder="1" applyAlignment="1" applyProtection="1">
      <alignment vertical="top" shrinkToFit="1"/>
    </xf>
    <xf numFmtId="0" fontId="54" fillId="0" borderId="0" xfId="0" applyFont="1" applyAlignment="1" applyProtection="1">
      <alignment vertical="top" shrinkToFit="1"/>
    </xf>
    <xf numFmtId="0" fontId="3" fillId="0" borderId="0" xfId="0" applyFont="1" applyAlignment="1" applyProtection="1">
      <alignment shrinkToFit="1"/>
    </xf>
    <xf numFmtId="0" fontId="28" fillId="0" borderId="20" xfId="2" applyFont="1" applyBorder="1" applyAlignment="1" applyProtection="1">
      <alignment horizontal="right" vertical="center" indent="1" readingOrder="1"/>
      <protection locked="0"/>
    </xf>
    <xf numFmtId="1" fontId="4" fillId="0" borderId="0" xfId="0" applyNumberFormat="1" applyFont="1" applyAlignment="1" applyProtection="1">
      <alignment shrinkToFit="1"/>
    </xf>
    <xf numFmtId="1" fontId="6" fillId="0" borderId="0" xfId="2" applyNumberFormat="1" applyFont="1" applyBorder="1" applyAlignment="1" applyProtection="1">
      <alignment horizontal="right" vertical="center" indent="1"/>
    </xf>
    <xf numFmtId="1" fontId="68" fillId="0" borderId="0" xfId="0" applyNumberFormat="1" applyFont="1" applyAlignment="1" applyProtection="1">
      <alignment shrinkToFit="1"/>
    </xf>
    <xf numFmtId="0" fontId="2" fillId="0" borderId="0" xfId="0" applyFont="1" applyAlignment="1" applyProtection="1">
      <alignment shrinkToFit="1"/>
    </xf>
    <xf numFmtId="170" fontId="64" fillId="0" borderId="0" xfId="0" applyNumberFormat="1" applyFont="1"/>
    <xf numFmtId="0" fontId="71" fillId="0" borderId="7" xfId="2" applyFont="1" applyFill="1" applyBorder="1" applyAlignment="1" applyProtection="1">
      <alignment vertical="center"/>
      <protection hidden="1"/>
    </xf>
    <xf numFmtId="0" fontId="62" fillId="9" borderId="59" xfId="2" applyFont="1" applyFill="1" applyBorder="1" applyAlignment="1" applyProtection="1">
      <alignment horizontal="right" vertical="center" indent="1"/>
    </xf>
    <xf numFmtId="0" fontId="62" fillId="9" borderId="38" xfId="2" applyFont="1" applyFill="1" applyBorder="1" applyAlignment="1" applyProtection="1">
      <alignment horizontal="right" vertical="center" indent="1"/>
    </xf>
    <xf numFmtId="0" fontId="62" fillId="9" borderId="60" xfId="2" applyFont="1" applyFill="1" applyBorder="1" applyAlignment="1" applyProtection="1">
      <alignment horizontal="right" vertical="center" indent="1"/>
    </xf>
    <xf numFmtId="0" fontId="7" fillId="0" borderId="0" xfId="2" applyFont="1" applyBorder="1" applyAlignment="1" applyProtection="1">
      <alignment horizontal="right" vertical="center" indent="1"/>
    </xf>
    <xf numFmtId="0" fontId="20" fillId="4" borderId="0" xfId="2" applyFont="1" applyFill="1" applyAlignment="1" applyProtection="1">
      <alignment horizontal="right" vertical="center" indent="1"/>
    </xf>
    <xf numFmtId="0" fontId="72" fillId="0" borderId="0" xfId="2" applyFont="1" applyBorder="1" applyAlignment="1" applyProtection="1">
      <alignment horizontal="right" vertical="center" indent="1" readingOrder="2"/>
    </xf>
    <xf numFmtId="0" fontId="9" fillId="0" borderId="0" xfId="2" applyFont="1" applyBorder="1" applyAlignment="1" applyProtection="1">
      <alignment horizontal="right" vertical="center" indent="1" readingOrder="2"/>
    </xf>
    <xf numFmtId="195" fontId="6" fillId="0" borderId="0" xfId="2" applyNumberFormat="1" applyFont="1" applyBorder="1" applyAlignment="1" applyProtection="1">
      <alignment horizontal="right" vertical="center" indent="1"/>
    </xf>
    <xf numFmtId="0" fontId="73" fillId="4" borderId="3" xfId="2" applyFont="1" applyFill="1" applyBorder="1" applyAlignment="1" applyProtection="1">
      <alignment horizontal="right" vertical="center" indent="1"/>
    </xf>
    <xf numFmtId="0" fontId="6" fillId="4" borderId="3" xfId="2" applyFont="1" applyFill="1" applyBorder="1" applyAlignment="1" applyProtection="1">
      <alignment horizontal="right" vertical="center" indent="1" shrinkToFit="1"/>
    </xf>
    <xf numFmtId="0" fontId="6" fillId="4" borderId="3" xfId="2" applyFont="1" applyFill="1" applyBorder="1" applyAlignment="1" applyProtection="1">
      <alignment horizontal="right" vertical="center" indent="1"/>
    </xf>
    <xf numFmtId="0" fontId="6" fillId="0" borderId="0" xfId="2" applyFont="1" applyBorder="1" applyAlignment="1" applyProtection="1">
      <alignment horizontal="right" vertical="center" indent="1"/>
      <protection hidden="1"/>
    </xf>
    <xf numFmtId="0" fontId="6" fillId="4" borderId="3" xfId="2" applyNumberFormat="1" applyFont="1" applyFill="1" applyBorder="1" applyAlignment="1" applyProtection="1">
      <alignment horizontal="right" vertical="center" indent="1" shrinkToFit="1" readingOrder="2"/>
      <protection hidden="1"/>
    </xf>
    <xf numFmtId="0" fontId="74" fillId="0" borderId="0" xfId="2" applyFont="1" applyBorder="1" applyAlignment="1" applyProtection="1">
      <alignment horizontal="right" vertical="center" indent="1"/>
    </xf>
    <xf numFmtId="183" fontId="17" fillId="0" borderId="0" xfId="2" applyNumberFormat="1" applyFont="1" applyBorder="1" applyAlignment="1" applyProtection="1">
      <alignment horizontal="right" vertical="center" indent="1"/>
    </xf>
    <xf numFmtId="0" fontId="14" fillId="0" borderId="0" xfId="2" applyFont="1" applyBorder="1" applyAlignment="1" applyProtection="1">
      <alignment horizontal="right" vertical="center" indent="1"/>
      <protection hidden="1"/>
    </xf>
    <xf numFmtId="0" fontId="14" fillId="0" borderId="0" xfId="2" applyFont="1" applyBorder="1" applyAlignment="1" applyProtection="1">
      <alignment horizontal="right" vertical="center" indent="1"/>
    </xf>
    <xf numFmtId="0" fontId="6" fillId="4" borderId="3" xfId="2" applyNumberFormat="1" applyFont="1" applyFill="1" applyBorder="1" applyAlignment="1" applyProtection="1">
      <alignment horizontal="right" vertical="center" indent="1" shrinkToFit="1" readingOrder="2"/>
    </xf>
    <xf numFmtId="0" fontId="5" fillId="0" borderId="0" xfId="2" applyBorder="1" applyAlignment="1" applyProtection="1">
      <alignment horizontal="right" vertical="center" indent="1"/>
    </xf>
    <xf numFmtId="9" fontId="5" fillId="0" borderId="0" xfId="4" applyFont="1" applyAlignment="1" applyProtection="1">
      <alignment horizontal="right" vertical="center" indent="1"/>
    </xf>
    <xf numFmtId="0" fontId="71" fillId="0" borderId="0" xfId="2" applyFont="1" applyAlignment="1" applyProtection="1">
      <alignment horizontal="right" vertical="center" indent="1"/>
    </xf>
    <xf numFmtId="0" fontId="6" fillId="4" borderId="0" xfId="2" applyNumberFormat="1" applyFont="1" applyFill="1" applyBorder="1" applyAlignment="1" applyProtection="1">
      <alignment horizontal="right" vertical="center" indent="1" shrinkToFit="1" readingOrder="2"/>
    </xf>
    <xf numFmtId="2" fontId="2" fillId="0" borderId="0" xfId="0" applyNumberFormat="1" applyFont="1" applyAlignment="1" applyProtection="1">
      <alignment horizontal="center" shrinkToFit="1"/>
    </xf>
    <xf numFmtId="2" fontId="4" fillId="0" borderId="0" xfId="0" applyNumberFormat="1" applyFont="1" applyAlignment="1" applyProtection="1">
      <alignment horizontal="center" shrinkToFit="1"/>
    </xf>
    <xf numFmtId="0" fontId="54" fillId="5" borderId="13" xfId="0" applyFont="1" applyFill="1" applyBorder="1" applyAlignment="1" applyProtection="1">
      <alignment horizontal="center" vertical="center"/>
      <protection locked="0" hidden="1"/>
    </xf>
    <xf numFmtId="0" fontId="54" fillId="5" borderId="15" xfId="0" applyFont="1" applyFill="1" applyBorder="1" applyAlignment="1" applyProtection="1">
      <alignment horizontal="center" vertical="center"/>
      <protection locked="0" hidden="1"/>
    </xf>
    <xf numFmtId="0" fontId="6" fillId="2" borderId="1" xfId="2" applyFont="1" applyFill="1" applyBorder="1" applyAlignment="1" applyProtection="1">
      <alignment horizontal="center" vertical="center"/>
    </xf>
    <xf numFmtId="0" fontId="6" fillId="2" borderId="2" xfId="2" applyFont="1" applyFill="1" applyBorder="1" applyAlignment="1" applyProtection="1">
      <alignment horizontal="center" vertical="center"/>
    </xf>
    <xf numFmtId="2" fontId="6" fillId="0" borderId="0" xfId="2" applyNumberFormat="1" applyFont="1" applyBorder="1" applyAlignment="1" applyProtection="1">
      <alignment horizontal="right" vertical="center"/>
    </xf>
    <xf numFmtId="4" fontId="6" fillId="2" borderId="2" xfId="2" applyNumberFormat="1" applyFont="1" applyFill="1" applyBorder="1" applyAlignment="1" applyProtection="1">
      <alignment horizontal="center" vertical="center"/>
    </xf>
    <xf numFmtId="0" fontId="6" fillId="2" borderId="4" xfId="2" applyFont="1" applyFill="1" applyBorder="1" applyAlignment="1" applyProtection="1">
      <alignment horizontal="right" vertical="center" readingOrder="1"/>
    </xf>
    <xf numFmtId="168" fontId="6" fillId="0" borderId="7" xfId="1" applyNumberFormat="1" applyFont="1" applyBorder="1" applyAlignment="1" applyProtection="1">
      <alignment horizontal="right" vertical="center"/>
    </xf>
    <xf numFmtId="0" fontId="26" fillId="0" borderId="8" xfId="2" applyFont="1" applyFill="1" applyBorder="1" applyAlignment="1" applyProtection="1">
      <alignment horizontal="right" vertical="center" readingOrder="1"/>
    </xf>
    <xf numFmtId="170" fontId="6" fillId="0" borderId="37" xfId="2" applyNumberFormat="1" applyFont="1" applyFill="1" applyBorder="1" applyAlignment="1" applyProtection="1">
      <alignment horizontal="right" vertical="center"/>
    </xf>
    <xf numFmtId="3" fontId="6" fillId="0" borderId="0" xfId="2" applyNumberFormat="1" applyFont="1" applyBorder="1" applyAlignment="1" applyProtection="1">
      <alignment vertical="center"/>
    </xf>
    <xf numFmtId="167" fontId="6" fillId="9" borderId="13" xfId="2" applyNumberFormat="1" applyFont="1" applyFill="1" applyBorder="1" applyAlignment="1" applyProtection="1">
      <alignment horizontal="right" vertical="center" indent="1"/>
    </xf>
    <xf numFmtId="0" fontId="6" fillId="9" borderId="3" xfId="2" applyFont="1" applyFill="1" applyBorder="1" applyAlignment="1" applyProtection="1">
      <alignment horizontal="right" vertical="center" shrinkToFit="1"/>
    </xf>
    <xf numFmtId="175" fontId="6" fillId="0" borderId="0" xfId="2" applyNumberFormat="1" applyFont="1" applyFill="1" applyBorder="1" applyAlignment="1" applyProtection="1">
      <alignment horizontal="left" vertical="center" shrinkToFit="1"/>
    </xf>
    <xf numFmtId="175" fontId="6" fillId="0" borderId="1" xfId="2" applyNumberFormat="1" applyFont="1" applyFill="1" applyBorder="1" applyAlignment="1" applyProtection="1">
      <alignment horizontal="right" vertical="center" shrinkToFit="1"/>
    </xf>
    <xf numFmtId="175" fontId="6" fillId="0" borderId="2" xfId="2" applyNumberFormat="1" applyFont="1" applyFill="1" applyBorder="1" applyAlignment="1" applyProtection="1">
      <alignment horizontal="left" vertical="center" shrinkToFit="1"/>
    </xf>
    <xf numFmtId="170" fontId="6" fillId="0" borderId="2" xfId="2" applyNumberFormat="1" applyFont="1" applyFill="1" applyBorder="1" applyAlignment="1" applyProtection="1">
      <alignment horizontal="right" vertical="center" shrinkToFit="1"/>
    </xf>
    <xf numFmtId="4" fontId="6" fillId="2" borderId="11" xfId="2" applyNumberFormat="1" applyFont="1" applyFill="1" applyBorder="1" applyAlignment="1" applyProtection="1">
      <alignment horizontal="right" vertical="center" indent="1" shrinkToFit="1"/>
    </xf>
    <xf numFmtId="9" fontId="6" fillId="0" borderId="23" xfId="4" applyFont="1" applyBorder="1" applyAlignment="1" applyProtection="1">
      <alignment horizontal="right" vertical="center" indent="1" shrinkToFit="1"/>
      <protection locked="0"/>
    </xf>
    <xf numFmtId="2" fontId="6" fillId="0" borderId="7" xfId="2" applyNumberFormat="1" applyFont="1" applyBorder="1" applyAlignment="1" applyProtection="1">
      <alignment horizontal="right" vertical="center" shrinkToFit="1"/>
    </xf>
    <xf numFmtId="0" fontId="67" fillId="2" borderId="23" xfId="0" applyFont="1" applyFill="1" applyBorder="1" applyAlignment="1" applyProtection="1">
      <alignment horizontal="center" vertical="center"/>
      <protection hidden="1"/>
    </xf>
    <xf numFmtId="0" fontId="67" fillId="2" borderId="25" xfId="0" applyFont="1" applyFill="1" applyBorder="1" applyAlignment="1" applyProtection="1">
      <alignment horizontal="center" vertical="center"/>
      <protection hidden="1"/>
    </xf>
    <xf numFmtId="0" fontId="6" fillId="5" borderId="13" xfId="2" applyFont="1" applyFill="1" applyBorder="1" applyAlignment="1" applyProtection="1">
      <alignment horizontal="center" vertical="center"/>
      <protection locked="0"/>
    </xf>
    <xf numFmtId="0" fontId="6" fillId="5" borderId="23" xfId="2" applyFont="1" applyFill="1" applyBorder="1" applyAlignment="1" applyProtection="1">
      <alignment horizontal="center" vertical="center"/>
      <protection locked="0"/>
    </xf>
    <xf numFmtId="197" fontId="6" fillId="0" borderId="13" xfId="3" applyNumberFormat="1" applyFont="1" applyBorder="1" applyAlignment="1" applyProtection="1">
      <alignment horizontal="right" vertical="center" indent="1"/>
      <protection locked="0"/>
    </xf>
    <xf numFmtId="0" fontId="54" fillId="5" borderId="0" xfId="0" applyFont="1" applyFill="1" applyAlignment="1" applyProtection="1">
      <alignment horizontal="center" vertical="center" shrinkToFit="1"/>
    </xf>
    <xf numFmtId="1" fontId="6" fillId="0" borderId="0" xfId="2" applyNumberFormat="1" applyFont="1" applyBorder="1" applyAlignment="1" applyProtection="1">
      <alignment horizontal="center" vertical="center"/>
    </xf>
    <xf numFmtId="0" fontId="4" fillId="0" borderId="0" xfId="0" applyFont="1" applyAlignment="1" applyProtection="1">
      <alignment horizontal="center" vertical="center" shrinkToFit="1"/>
    </xf>
    <xf numFmtId="0" fontId="54" fillId="0" borderId="0" xfId="2" applyFont="1" applyBorder="1" applyAlignment="1" applyProtection="1">
      <alignment horizontal="center" vertical="center"/>
      <protection locked="0" hidden="1"/>
    </xf>
    <xf numFmtId="0" fontId="77" fillId="0" borderId="0" xfId="2" applyFont="1" applyAlignment="1" applyProtection="1">
      <alignment vertical="center"/>
    </xf>
    <xf numFmtId="0" fontId="54" fillId="0" borderId="0" xfId="2" applyFont="1" applyBorder="1" applyAlignment="1" applyProtection="1">
      <alignment vertical="center"/>
    </xf>
    <xf numFmtId="2" fontId="54" fillId="0" borderId="0" xfId="2" applyNumberFormat="1" applyFont="1" applyBorder="1" applyAlignment="1" applyProtection="1">
      <alignment horizontal="center" vertical="center" readingOrder="1"/>
    </xf>
    <xf numFmtId="0" fontId="78" fillId="0" borderId="0" xfId="2" applyFont="1" applyBorder="1" applyAlignment="1" applyProtection="1">
      <alignment horizontal="center" vertical="center"/>
    </xf>
    <xf numFmtId="0" fontId="78" fillId="0" borderId="0" xfId="2" applyFont="1" applyBorder="1" applyAlignment="1" applyProtection="1">
      <alignment horizontal="right" vertical="center"/>
      <protection hidden="1"/>
    </xf>
    <xf numFmtId="0" fontId="78" fillId="0" borderId="0" xfId="2" applyFont="1" applyFill="1" applyBorder="1" applyAlignment="1" applyProtection="1">
      <alignment vertical="center"/>
      <protection locked="0" hidden="1"/>
    </xf>
    <xf numFmtId="0" fontId="78" fillId="0" borderId="0" xfId="2" applyFont="1" applyAlignment="1" applyProtection="1">
      <alignment vertical="center"/>
    </xf>
    <xf numFmtId="0" fontId="78" fillId="0" borderId="0" xfId="2" applyFont="1" applyBorder="1" applyAlignment="1" applyProtection="1">
      <alignment horizontal="right" readingOrder="2"/>
      <protection locked="0" hidden="1"/>
    </xf>
    <xf numFmtId="9" fontId="1" fillId="0" borderId="0" xfId="5" applyNumberFormat="1" applyFont="1" applyFill="1" applyBorder="1" applyAlignment="1" applyProtection="1">
      <alignment horizontal="right" vertical="center" indent="1" readingOrder="1"/>
      <protection hidden="1"/>
    </xf>
    <xf numFmtId="0" fontId="28" fillId="0" borderId="4" xfId="2" applyFont="1" applyFill="1" applyBorder="1" applyAlignment="1" applyProtection="1">
      <alignment horizontal="right" vertical="center" shrinkToFit="1" readingOrder="1"/>
    </xf>
    <xf numFmtId="0" fontId="28" fillId="0" borderId="5" xfId="2" applyFont="1" applyFill="1" applyBorder="1" applyAlignment="1" applyProtection="1">
      <alignment horizontal="right" vertical="center" shrinkToFit="1" readingOrder="1"/>
    </xf>
    <xf numFmtId="0" fontId="28" fillId="0" borderId="8" xfId="2" applyFont="1" applyFill="1" applyBorder="1" applyAlignment="1" applyProtection="1">
      <alignment horizontal="right" vertical="center" shrinkToFit="1" readingOrder="1"/>
    </xf>
    <xf numFmtId="0" fontId="8" fillId="0" borderId="5" xfId="2" applyFont="1" applyFill="1" applyBorder="1" applyAlignment="1" applyProtection="1">
      <alignment horizontal="right" vertical="center" shrinkToFit="1" readingOrder="1"/>
    </xf>
    <xf numFmtId="0" fontId="28" fillId="0" borderId="57" xfId="2" applyFont="1" applyFill="1" applyBorder="1" applyAlignment="1" applyProtection="1">
      <alignment horizontal="right" vertical="center" shrinkToFit="1" readingOrder="1"/>
    </xf>
    <xf numFmtId="0" fontId="28" fillId="0" borderId="5" xfId="2" applyFont="1" applyBorder="1" applyAlignment="1" applyProtection="1">
      <alignment horizontal="right" vertical="center" shrinkToFit="1" readingOrder="1"/>
    </xf>
    <xf numFmtId="0" fontId="28" fillId="0" borderId="57" xfId="2" applyFont="1" applyBorder="1" applyAlignment="1" applyProtection="1">
      <alignment horizontal="right" vertical="center" shrinkToFit="1" readingOrder="1"/>
    </xf>
    <xf numFmtId="0" fontId="28" fillId="0" borderId="8" xfId="2" applyFont="1" applyBorder="1" applyAlignment="1" applyProtection="1">
      <alignment horizontal="right" vertical="center" shrinkToFit="1" readingOrder="1"/>
    </xf>
    <xf numFmtId="0" fontId="28" fillId="0" borderId="41" xfId="2" applyFont="1" applyBorder="1" applyAlignment="1" applyProtection="1">
      <alignment horizontal="right" vertical="center" shrinkToFit="1" readingOrder="1"/>
    </xf>
    <xf numFmtId="0" fontId="28" fillId="0" borderId="41" xfId="2" applyFont="1" applyBorder="1" applyAlignment="1" applyProtection="1">
      <alignment horizontal="right" vertical="center" shrinkToFit="1"/>
    </xf>
    <xf numFmtId="0" fontId="28" fillId="0" borderId="5" xfId="2" applyFont="1" applyFill="1" applyBorder="1" applyAlignment="1" applyProtection="1">
      <alignment horizontal="right" vertical="center" shrinkToFit="1"/>
    </xf>
    <xf numFmtId="0" fontId="28" fillId="0" borderId="41" xfId="2" applyFont="1" applyFill="1" applyBorder="1" applyAlignment="1" applyProtection="1">
      <alignment horizontal="right" vertical="center" shrinkToFit="1"/>
    </xf>
    <xf numFmtId="0" fontId="28" fillId="0" borderId="8" xfId="2" applyFont="1" applyBorder="1" applyAlignment="1" applyProtection="1">
      <alignment horizontal="right" vertical="center" shrinkToFit="1"/>
    </xf>
    <xf numFmtId="188" fontId="28" fillId="0" borderId="5" xfId="2" applyNumberFormat="1" applyFont="1" applyFill="1" applyBorder="1" applyAlignment="1" applyProtection="1">
      <alignment horizontal="right" vertical="center" shrinkToFit="1"/>
    </xf>
    <xf numFmtId="179" fontId="28" fillId="0" borderId="8" xfId="2" applyNumberFormat="1" applyFont="1" applyFill="1" applyBorder="1" applyAlignment="1" applyProtection="1">
      <alignment horizontal="right" vertical="center" shrinkToFit="1"/>
    </xf>
    <xf numFmtId="0" fontId="28" fillId="0" borderId="5" xfId="2" applyNumberFormat="1" applyFont="1" applyFill="1" applyBorder="1" applyAlignment="1" applyProtection="1">
      <alignment horizontal="right" vertical="center" shrinkToFit="1"/>
    </xf>
    <xf numFmtId="178" fontId="28" fillId="0" borderId="5" xfId="2" applyNumberFormat="1" applyFont="1" applyFill="1" applyBorder="1" applyAlignment="1" applyProtection="1">
      <alignment horizontal="right" vertical="center" shrinkToFit="1"/>
    </xf>
    <xf numFmtId="177" fontId="28" fillId="0" borderId="8" xfId="2" applyNumberFormat="1" applyFont="1" applyFill="1" applyBorder="1" applyAlignment="1" applyProtection="1">
      <alignment horizontal="right" vertical="center" shrinkToFit="1"/>
    </xf>
    <xf numFmtId="0" fontId="80" fillId="0" borderId="0" xfId="0" applyFont="1" applyAlignment="1" applyProtection="1">
      <alignment horizontal="right" shrinkToFit="1"/>
    </xf>
    <xf numFmtId="0" fontId="28" fillId="0" borderId="4" xfId="2" applyFont="1" applyBorder="1" applyAlignment="1" applyProtection="1">
      <alignment horizontal="right" vertical="center" shrinkToFit="1" readingOrder="1"/>
    </xf>
    <xf numFmtId="196" fontId="28" fillId="0" borderId="57" xfId="2" applyNumberFormat="1" applyFont="1" applyFill="1" applyBorder="1" applyAlignment="1" applyProtection="1">
      <alignment horizontal="right" vertical="center" shrinkToFit="1"/>
    </xf>
    <xf numFmtId="188" fontId="28" fillId="0" borderId="8" xfId="2" applyNumberFormat="1" applyFont="1" applyFill="1" applyBorder="1" applyAlignment="1" applyProtection="1">
      <alignment horizontal="right" vertical="center" shrinkToFit="1"/>
    </xf>
    <xf numFmtId="0" fontId="53" fillId="0" borderId="0" xfId="2" applyFont="1" applyBorder="1" applyAlignment="1" applyProtection="1">
      <alignment horizontal="right" vertical="top"/>
      <protection hidden="1"/>
    </xf>
    <xf numFmtId="0" fontId="60" fillId="5" borderId="0" xfId="6" applyFont="1" applyFill="1" applyAlignment="1">
      <alignment horizontal="center" vertical="center"/>
    </xf>
    <xf numFmtId="0" fontId="60" fillId="0" borderId="0" xfId="6" applyFont="1" applyAlignment="1">
      <alignment horizontal="center" vertical="center"/>
    </xf>
    <xf numFmtId="0" fontId="82" fillId="0" borderId="91" xfId="6" applyFont="1" applyBorder="1" applyAlignment="1">
      <alignment horizontal="left" vertical="center"/>
    </xf>
    <xf numFmtId="0" fontId="60" fillId="0" borderId="91" xfId="6" applyFont="1" applyBorder="1" applyAlignment="1">
      <alignment horizontal="center" vertical="center"/>
    </xf>
    <xf numFmtId="0" fontId="82" fillId="0" borderId="13" xfId="6" applyFont="1" applyBorder="1" applyAlignment="1">
      <alignment horizontal="left" vertical="center"/>
    </xf>
    <xf numFmtId="0" fontId="60" fillId="0" borderId="13" xfId="6" applyFont="1" applyBorder="1" applyAlignment="1" applyProtection="1">
      <alignment horizontal="center" vertical="center"/>
      <protection locked="0"/>
    </xf>
    <xf numFmtId="0" fontId="82" fillId="4" borderId="91" xfId="6" applyFont="1" applyFill="1" applyBorder="1" applyAlignment="1">
      <alignment horizontal="left" vertical="center"/>
    </xf>
    <xf numFmtId="0" fontId="60" fillId="4" borderId="91" xfId="6" applyFont="1" applyFill="1" applyBorder="1" applyAlignment="1" applyProtection="1">
      <alignment horizontal="center" vertical="center"/>
      <protection locked="0"/>
    </xf>
    <xf numFmtId="0" fontId="82" fillId="4" borderId="13" xfId="6" applyFont="1" applyFill="1" applyBorder="1" applyAlignment="1">
      <alignment horizontal="left" vertical="center"/>
    </xf>
    <xf numFmtId="0" fontId="60" fillId="4" borderId="13" xfId="6" applyFont="1" applyFill="1" applyBorder="1" applyAlignment="1">
      <alignment horizontal="center" vertical="center"/>
    </xf>
    <xf numFmtId="0" fontId="60" fillId="4" borderId="13" xfId="6" applyFont="1" applyFill="1" applyBorder="1" applyAlignment="1" applyProtection="1">
      <alignment horizontal="center" vertical="center"/>
      <protection locked="0"/>
    </xf>
    <xf numFmtId="0" fontId="60" fillId="4" borderId="13" xfId="6" applyFont="1" applyFill="1" applyBorder="1" applyAlignment="1">
      <alignment horizontal="left" vertical="center"/>
    </xf>
    <xf numFmtId="0" fontId="60" fillId="5" borderId="0" xfId="6" applyFont="1" applyFill="1" applyBorder="1" applyAlignment="1">
      <alignment horizontal="center" vertical="center"/>
    </xf>
    <xf numFmtId="0" fontId="82" fillId="4" borderId="13" xfId="6" applyFont="1" applyFill="1" applyBorder="1" applyAlignment="1">
      <alignment horizontal="left" vertical="center" wrapText="1"/>
    </xf>
    <xf numFmtId="0" fontId="60" fillId="0" borderId="13" xfId="6" applyFont="1" applyBorder="1" applyAlignment="1">
      <alignment horizontal="center" vertical="center"/>
    </xf>
    <xf numFmtId="0" fontId="82" fillId="0" borderId="13" xfId="6" applyFont="1" applyBorder="1" applyAlignment="1">
      <alignment horizontal="left" vertical="center" wrapText="1"/>
    </xf>
    <xf numFmtId="0" fontId="60" fillId="5" borderId="13" xfId="6" applyFont="1" applyFill="1" applyBorder="1" applyAlignment="1">
      <alignment horizontal="center" vertical="center"/>
    </xf>
    <xf numFmtId="0" fontId="82" fillId="4" borderId="13" xfId="6" applyFont="1" applyFill="1" applyBorder="1" applyAlignment="1" applyProtection="1">
      <alignment horizontal="center" vertical="center"/>
      <protection locked="0"/>
    </xf>
    <xf numFmtId="0" fontId="82" fillId="0" borderId="13" xfId="6" applyFont="1" applyBorder="1" applyAlignment="1" applyProtection="1">
      <alignment horizontal="center" vertical="center"/>
      <protection locked="0"/>
    </xf>
    <xf numFmtId="0" fontId="60" fillId="5" borderId="13" xfId="6" applyFont="1" applyFill="1" applyBorder="1" applyAlignment="1" applyProtection="1">
      <alignment horizontal="center" vertical="center"/>
      <protection locked="0"/>
    </xf>
    <xf numFmtId="0" fontId="82" fillId="4" borderId="91" xfId="6" applyFont="1" applyFill="1" applyBorder="1" applyAlignment="1">
      <alignment horizontal="left" vertical="center" wrapText="1"/>
    </xf>
    <xf numFmtId="4" fontId="60" fillId="4" borderId="93" xfId="6" applyNumberFormat="1" applyFont="1" applyFill="1" applyBorder="1" applyAlignment="1">
      <alignment horizontal="center" vertical="center"/>
    </xf>
    <xf numFmtId="0" fontId="60" fillId="0" borderId="92" xfId="6" applyFont="1" applyBorder="1" applyAlignment="1" applyProtection="1">
      <alignment horizontal="center" vertical="center"/>
      <protection locked="0"/>
    </xf>
    <xf numFmtId="0" fontId="60" fillId="0" borderId="91" xfId="6" applyFont="1" applyBorder="1" applyAlignment="1" applyProtection="1">
      <alignment horizontal="center" vertical="center"/>
      <protection locked="0"/>
    </xf>
    <xf numFmtId="0" fontId="60" fillId="0" borderId="13" xfId="6" applyFont="1" applyBorder="1" applyAlignment="1" applyProtection="1">
      <alignment horizontal="left" vertical="center"/>
      <protection locked="0"/>
    </xf>
    <xf numFmtId="0" fontId="60" fillId="4" borderId="13" xfId="6" applyFont="1" applyFill="1" applyBorder="1" applyAlignment="1" applyProtection="1">
      <alignment horizontal="left" vertical="center"/>
      <protection locked="0"/>
    </xf>
    <xf numFmtId="0" fontId="60" fillId="4" borderId="13" xfId="6" applyFont="1" applyFill="1" applyBorder="1" applyAlignment="1">
      <alignment horizontal="center" vertical="center" wrapText="1"/>
    </xf>
    <xf numFmtId="0" fontId="6" fillId="9" borderId="0" xfId="2" applyFont="1" applyFill="1" applyBorder="1" applyAlignment="1" applyProtection="1">
      <alignment vertical="center" textRotation="90" shrinkToFit="1"/>
    </xf>
    <xf numFmtId="0" fontId="67" fillId="2" borderId="13" xfId="2" applyNumberFormat="1" applyFont="1" applyFill="1" applyBorder="1" applyAlignment="1" applyProtection="1">
      <alignment horizontal="right" vertical="center" indent="1"/>
    </xf>
    <xf numFmtId="2" fontId="67" fillId="2" borderId="13" xfId="5" applyNumberFormat="1" applyFont="1" applyFill="1" applyBorder="1" applyAlignment="1" applyProtection="1">
      <alignment horizontal="right" vertical="center" indent="1"/>
    </xf>
    <xf numFmtId="3" fontId="67" fillId="2" borderId="23" xfId="2" applyNumberFormat="1" applyFont="1" applyFill="1" applyBorder="1" applyAlignment="1" applyProtection="1">
      <alignment horizontal="right" vertical="center" indent="1"/>
    </xf>
    <xf numFmtId="3" fontId="6" fillId="5" borderId="23" xfId="2" applyNumberFormat="1" applyFont="1" applyFill="1" applyBorder="1" applyAlignment="1" applyProtection="1">
      <alignment horizontal="right" vertical="center" indent="1"/>
      <protection locked="0" hidden="1"/>
    </xf>
    <xf numFmtId="3" fontId="6" fillId="5" borderId="13" xfId="2" applyNumberFormat="1" applyFont="1" applyFill="1" applyBorder="1" applyAlignment="1" applyProtection="1">
      <alignment horizontal="right" vertical="center" indent="1"/>
      <protection locked="0"/>
    </xf>
    <xf numFmtId="3" fontId="67" fillId="2" borderId="13" xfId="2" applyNumberFormat="1" applyFont="1" applyFill="1" applyBorder="1" applyAlignment="1" applyProtection="1">
      <alignment horizontal="right" vertical="center" indent="1"/>
    </xf>
    <xf numFmtId="3" fontId="67" fillId="2" borderId="27" xfId="2" applyNumberFormat="1" applyFont="1" applyFill="1" applyBorder="1" applyAlignment="1" applyProtection="1">
      <alignment horizontal="right" vertical="center" indent="1"/>
    </xf>
    <xf numFmtId="0" fontId="6" fillId="9" borderId="29" xfId="2" applyFont="1" applyFill="1" applyBorder="1" applyAlignment="1" applyProtection="1">
      <alignment horizontal="center" vertical="center" textRotation="90"/>
    </xf>
    <xf numFmtId="0" fontId="6" fillId="9" borderId="30" xfId="2" applyFont="1" applyFill="1" applyBorder="1" applyAlignment="1" applyProtection="1">
      <alignment horizontal="center" vertical="center" textRotation="90"/>
    </xf>
    <xf numFmtId="0" fontId="6" fillId="9" borderId="9" xfId="2" applyFont="1" applyFill="1" applyBorder="1" applyAlignment="1" applyProtection="1">
      <alignment horizontal="center" vertical="center" textRotation="90"/>
    </xf>
    <xf numFmtId="49" fontId="20" fillId="0" borderId="23" xfId="2" applyNumberFormat="1" applyFont="1" applyBorder="1" applyAlignment="1" applyProtection="1">
      <alignment horizontal="right" vertical="center" wrapText="1"/>
      <protection locked="0"/>
    </xf>
    <xf numFmtId="49" fontId="20" fillId="0" borderId="25" xfId="2" applyNumberFormat="1" applyFont="1" applyBorder="1" applyAlignment="1" applyProtection="1">
      <alignment horizontal="right" vertical="center" wrapText="1"/>
      <protection locked="0"/>
    </xf>
    <xf numFmtId="3" fontId="6" fillId="0" borderId="13" xfId="2" applyNumberFormat="1" applyFont="1" applyBorder="1" applyAlignment="1" applyProtection="1">
      <alignment vertical="center"/>
      <protection locked="0"/>
    </xf>
    <xf numFmtId="3" fontId="6" fillId="0" borderId="15" xfId="2" applyNumberFormat="1" applyFont="1" applyBorder="1" applyAlignment="1" applyProtection="1">
      <alignment vertical="center"/>
      <protection locked="0"/>
    </xf>
    <xf numFmtId="49" fontId="6" fillId="0" borderId="21" xfId="2" applyNumberFormat="1" applyFont="1" applyBorder="1" applyAlignment="1" applyProtection="1">
      <alignment horizontal="right" vertical="center"/>
      <protection locked="0"/>
    </xf>
    <xf numFmtId="49" fontId="6" fillId="0" borderId="61" xfId="2" applyNumberFormat="1" applyFont="1" applyBorder="1" applyAlignment="1" applyProtection="1">
      <alignment horizontal="right" vertical="center"/>
      <protection locked="0"/>
    </xf>
    <xf numFmtId="49" fontId="6" fillId="0" borderId="62" xfId="2" applyNumberFormat="1" applyFont="1" applyBorder="1" applyAlignment="1" applyProtection="1">
      <alignment horizontal="right" vertical="center"/>
      <protection locked="0"/>
    </xf>
    <xf numFmtId="49" fontId="6" fillId="0" borderId="14" xfId="2" applyNumberFormat="1" applyFont="1" applyBorder="1" applyAlignment="1" applyProtection="1">
      <alignment horizontal="right" vertical="center"/>
      <protection locked="0"/>
    </xf>
    <xf numFmtId="49" fontId="6" fillId="0" borderId="42" xfId="2" applyNumberFormat="1" applyFont="1" applyBorder="1" applyAlignment="1" applyProtection="1">
      <alignment horizontal="right" vertical="center"/>
      <protection locked="0"/>
    </xf>
    <xf numFmtId="49" fontId="6" fillId="0" borderId="63" xfId="2" applyNumberFormat="1" applyFont="1" applyBorder="1" applyAlignment="1" applyProtection="1">
      <alignment horizontal="right" vertical="center"/>
      <protection locked="0"/>
    </xf>
    <xf numFmtId="0" fontId="6" fillId="9" borderId="29" xfId="2" applyFont="1" applyFill="1" applyBorder="1" applyAlignment="1" applyProtection="1">
      <alignment horizontal="center" vertical="center" textRotation="90" shrinkToFit="1"/>
    </xf>
    <xf numFmtId="0" fontId="6" fillId="9" borderId="30" xfId="2" applyFont="1" applyFill="1" applyBorder="1" applyAlignment="1" applyProtection="1">
      <alignment horizontal="center" vertical="center" textRotation="90" shrinkToFit="1"/>
    </xf>
    <xf numFmtId="0" fontId="6" fillId="9" borderId="9" xfId="2" applyFont="1" applyFill="1" applyBorder="1" applyAlignment="1" applyProtection="1">
      <alignment horizontal="center" vertical="center" textRotation="90" shrinkToFit="1"/>
    </xf>
    <xf numFmtId="164" fontId="6" fillId="0" borderId="21" xfId="2" applyNumberFormat="1" applyFont="1" applyBorder="1" applyAlignment="1" applyProtection="1">
      <alignment horizontal="left" vertical="center" wrapText="1" indent="1"/>
      <protection locked="0"/>
    </xf>
    <xf numFmtId="164" fontId="6" fillId="0" borderId="59" xfId="2" applyNumberFormat="1" applyFont="1" applyBorder="1" applyAlignment="1" applyProtection="1">
      <alignment horizontal="left" vertical="center" wrapText="1" indent="1"/>
      <protection locked="0"/>
    </xf>
    <xf numFmtId="0" fontId="6" fillId="0" borderId="21" xfId="2" applyNumberFormat="1" applyFont="1" applyFill="1" applyBorder="1" applyAlignment="1" applyProtection="1">
      <alignment horizontal="left" vertical="center" indent="1"/>
      <protection locked="0" hidden="1"/>
    </xf>
    <xf numFmtId="0" fontId="6" fillId="0" borderId="59" xfId="2" applyNumberFormat="1" applyFont="1" applyFill="1" applyBorder="1" applyAlignment="1" applyProtection="1">
      <alignment horizontal="left" vertical="center" indent="1"/>
      <protection locked="0" hidden="1"/>
    </xf>
    <xf numFmtId="0" fontId="6" fillId="2" borderId="1" xfId="2" applyFont="1" applyFill="1" applyBorder="1" applyAlignment="1" applyProtection="1">
      <alignment horizontal="center" vertical="center"/>
    </xf>
    <xf numFmtId="0" fontId="6" fillId="2" borderId="2" xfId="2" applyFont="1" applyFill="1" applyBorder="1" applyAlignment="1" applyProtection="1">
      <alignment horizontal="center" vertical="center"/>
    </xf>
    <xf numFmtId="0" fontId="6" fillId="2" borderId="4" xfId="2" applyFont="1" applyFill="1" applyBorder="1" applyAlignment="1" applyProtection="1">
      <alignment horizontal="center" vertical="center"/>
    </xf>
    <xf numFmtId="0" fontId="20" fillId="9" borderId="29" xfId="2" applyFont="1" applyFill="1" applyBorder="1" applyAlignment="1" applyProtection="1">
      <alignment horizontal="center" vertical="center" textRotation="90"/>
    </xf>
    <xf numFmtId="0" fontId="20" fillId="9" borderId="30" xfId="2" applyFont="1" applyFill="1" applyBorder="1" applyAlignment="1" applyProtection="1">
      <alignment horizontal="center" vertical="center" textRotation="90"/>
    </xf>
    <xf numFmtId="0" fontId="20" fillId="9" borderId="9" xfId="2" applyFont="1" applyFill="1" applyBorder="1" applyAlignment="1" applyProtection="1">
      <alignment horizontal="center" vertical="center" textRotation="90"/>
    </xf>
    <xf numFmtId="0" fontId="82" fillId="4" borderId="91" xfId="6" applyFont="1" applyFill="1" applyBorder="1" applyAlignment="1">
      <alignment horizontal="center" vertical="center"/>
    </xf>
    <xf numFmtId="0" fontId="60" fillId="4" borderId="91" xfId="6" applyFont="1" applyFill="1" applyBorder="1" applyAlignment="1">
      <alignment horizontal="center" vertical="center"/>
    </xf>
    <xf numFmtId="0" fontId="82" fillId="4" borderId="91" xfId="6" applyFont="1" applyFill="1" applyBorder="1" applyAlignment="1">
      <alignment horizontal="left" vertical="center"/>
    </xf>
    <xf numFmtId="0" fontId="82" fillId="0" borderId="91" xfId="6" applyFont="1" applyBorder="1" applyAlignment="1">
      <alignment horizontal="left" vertical="center"/>
    </xf>
    <xf numFmtId="0" fontId="49" fillId="15" borderId="14" xfId="6" applyFont="1" applyFill="1" applyBorder="1" applyAlignment="1">
      <alignment horizontal="center" vertical="center"/>
    </xf>
    <xf numFmtId="0" fontId="49" fillId="15" borderId="38" xfId="6" applyFont="1" applyFill="1" applyBorder="1" applyAlignment="1">
      <alignment horizontal="center" vertical="center"/>
    </xf>
    <xf numFmtId="0" fontId="49" fillId="14" borderId="91" xfId="6" applyFont="1" applyFill="1" applyBorder="1" applyAlignment="1">
      <alignment horizontal="center" vertical="center"/>
    </xf>
    <xf numFmtId="0" fontId="49" fillId="14" borderId="13" xfId="6" applyFont="1" applyFill="1" applyBorder="1" applyAlignment="1">
      <alignment horizontal="center" vertical="center"/>
    </xf>
    <xf numFmtId="0" fontId="49" fillId="14" borderId="14" xfId="6" applyFont="1" applyFill="1" applyBorder="1" applyAlignment="1">
      <alignment horizontal="center" vertical="center"/>
    </xf>
    <xf numFmtId="0" fontId="49" fillId="14" borderId="38" xfId="6" applyFont="1" applyFill="1" applyBorder="1" applyAlignment="1">
      <alignment horizontal="center" vertical="center"/>
    </xf>
    <xf numFmtId="0" fontId="83" fillId="14" borderId="13" xfId="6" applyFont="1" applyFill="1" applyBorder="1" applyAlignment="1">
      <alignment horizontal="center" vertical="center" wrapText="1"/>
    </xf>
    <xf numFmtId="0" fontId="49" fillId="15" borderId="13" xfId="6" applyFont="1" applyFill="1" applyBorder="1" applyAlignment="1">
      <alignment horizontal="center" vertical="center"/>
    </xf>
    <xf numFmtId="0" fontId="60" fillId="14" borderId="14" xfId="6" applyFont="1" applyFill="1" applyBorder="1" applyAlignment="1">
      <alignment horizontal="center" vertical="center"/>
    </xf>
    <xf numFmtId="0" fontId="60" fillId="14" borderId="38" xfId="6" applyFont="1" applyFill="1" applyBorder="1" applyAlignment="1">
      <alignment horizontal="center" vertical="center"/>
    </xf>
    <xf numFmtId="0" fontId="60" fillId="0" borderId="91" xfId="6" applyFont="1" applyBorder="1" applyAlignment="1" applyProtection="1">
      <alignment horizontal="center" vertical="center"/>
      <protection locked="0"/>
    </xf>
    <xf numFmtId="0" fontId="60" fillId="4" borderId="91" xfId="6" applyFont="1" applyFill="1" applyBorder="1" applyAlignment="1" applyProtection="1">
      <alignment horizontal="center" vertical="center"/>
      <protection locked="0"/>
    </xf>
    <xf numFmtId="0" fontId="6" fillId="3" borderId="3" xfId="2" applyFont="1" applyFill="1" applyBorder="1" applyAlignment="1" applyProtection="1">
      <alignment horizontal="center" vertical="center"/>
    </xf>
    <xf numFmtId="0" fontId="6" fillId="3" borderId="0" xfId="2" applyFont="1" applyFill="1" applyBorder="1" applyAlignment="1" applyProtection="1">
      <alignment horizontal="center" vertical="center"/>
    </xf>
    <xf numFmtId="0" fontId="6" fillId="3" borderId="5" xfId="2" applyFont="1" applyFill="1" applyBorder="1" applyAlignment="1" applyProtection="1">
      <alignment horizontal="center" vertical="center"/>
    </xf>
    <xf numFmtId="0" fontId="11" fillId="3" borderId="31" xfId="2" applyFont="1" applyFill="1" applyBorder="1" applyAlignment="1" applyProtection="1">
      <alignment horizontal="center" vertical="center"/>
    </xf>
    <xf numFmtId="0" fontId="11" fillId="3" borderId="32" xfId="2" applyFont="1" applyFill="1" applyBorder="1" applyAlignment="1" applyProtection="1">
      <alignment horizontal="center" vertical="center"/>
    </xf>
    <xf numFmtId="0" fontId="11" fillId="3" borderId="33" xfId="2" applyFont="1" applyFill="1" applyBorder="1" applyAlignment="1" applyProtection="1">
      <alignment horizontal="center" vertical="center"/>
    </xf>
    <xf numFmtId="0" fontId="6" fillId="3" borderId="1" xfId="2" applyFont="1" applyFill="1" applyBorder="1" applyAlignment="1" applyProtection="1">
      <alignment horizontal="center" vertical="center"/>
    </xf>
    <xf numFmtId="0" fontId="6" fillId="3" borderId="2" xfId="2" applyFont="1" applyFill="1" applyBorder="1" applyAlignment="1" applyProtection="1">
      <alignment horizontal="center" vertical="center"/>
    </xf>
    <xf numFmtId="0" fontId="6" fillId="3" borderId="4" xfId="2" applyFont="1" applyFill="1" applyBorder="1" applyAlignment="1" applyProtection="1">
      <alignment horizontal="center" vertical="center"/>
    </xf>
    <xf numFmtId="0" fontId="20" fillId="3" borderId="31" xfId="2" applyFont="1" applyFill="1" applyBorder="1" applyAlignment="1" applyProtection="1">
      <alignment horizontal="right" vertical="center"/>
    </xf>
    <xf numFmtId="0" fontId="20" fillId="3" borderId="32" xfId="2" applyFont="1" applyFill="1" applyBorder="1" applyAlignment="1" applyProtection="1">
      <alignment horizontal="right" vertical="center"/>
    </xf>
    <xf numFmtId="0" fontId="20" fillId="3" borderId="33" xfId="2" applyFont="1" applyFill="1" applyBorder="1" applyAlignment="1" applyProtection="1">
      <alignment horizontal="right" vertical="center"/>
    </xf>
    <xf numFmtId="0" fontId="11" fillId="3" borderId="1" xfId="2" applyFont="1" applyFill="1" applyBorder="1" applyAlignment="1" applyProtection="1">
      <alignment horizontal="center" vertical="center"/>
    </xf>
    <xf numFmtId="0" fontId="11" fillId="3" borderId="2" xfId="2" applyFont="1" applyFill="1" applyBorder="1" applyAlignment="1" applyProtection="1">
      <alignment horizontal="center" vertical="center"/>
    </xf>
    <xf numFmtId="0" fontId="11" fillId="3" borderId="4" xfId="2" applyFont="1" applyFill="1" applyBorder="1" applyAlignment="1" applyProtection="1">
      <alignment horizontal="center" vertical="center"/>
    </xf>
    <xf numFmtId="0" fontId="6" fillId="0" borderId="0" xfId="2" applyFont="1" applyBorder="1" applyAlignment="1" applyProtection="1">
      <alignment horizontal="right" vertical="center"/>
    </xf>
    <xf numFmtId="0" fontId="6" fillId="0" borderId="0" xfId="2" applyFont="1" applyBorder="1" applyAlignment="1" applyProtection="1">
      <alignment horizontal="left" vertical="center"/>
    </xf>
    <xf numFmtId="4" fontId="6" fillId="0" borderId="0" xfId="2" applyNumberFormat="1" applyFont="1" applyBorder="1" applyAlignment="1" applyProtection="1">
      <alignment vertical="center"/>
    </xf>
    <xf numFmtId="0" fontId="6" fillId="0" borderId="0" xfId="2" applyFont="1" applyBorder="1" applyAlignment="1" applyProtection="1">
      <alignment horizontal="right" vertical="center" readingOrder="1"/>
    </xf>
    <xf numFmtId="0" fontId="11" fillId="8" borderId="31" xfId="2" applyFont="1" applyFill="1" applyBorder="1" applyAlignment="1" applyProtection="1">
      <alignment horizontal="center" vertical="center"/>
    </xf>
    <xf numFmtId="0" fontId="11" fillId="8" borderId="32" xfId="2" applyFont="1" applyFill="1" applyBorder="1" applyAlignment="1" applyProtection="1">
      <alignment horizontal="center" vertical="center"/>
    </xf>
    <xf numFmtId="0" fontId="11" fillId="8" borderId="3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10" fillId="0" borderId="0" xfId="2" applyFont="1" applyFill="1" applyBorder="1" applyAlignment="1" applyProtection="1">
      <alignment horizontal="center" vertical="center"/>
    </xf>
    <xf numFmtId="0" fontId="6" fillId="2" borderId="0" xfId="2" applyFont="1" applyFill="1" applyBorder="1" applyAlignment="1" applyProtection="1">
      <alignment horizontal="right" vertical="center" indent="1"/>
    </xf>
    <xf numFmtId="0" fontId="18" fillId="3" borderId="1" xfId="2" applyFont="1" applyFill="1" applyBorder="1" applyAlignment="1" applyProtection="1">
      <alignment horizontal="center" vertical="center" wrapText="1"/>
    </xf>
    <xf numFmtId="0" fontId="18" fillId="3" borderId="2" xfId="2" applyFont="1" applyFill="1" applyBorder="1" applyAlignment="1" applyProtection="1">
      <alignment horizontal="center" vertical="center" wrapText="1"/>
    </xf>
    <xf numFmtId="0" fontId="18" fillId="3" borderId="4" xfId="2" applyFont="1" applyFill="1" applyBorder="1" applyAlignment="1" applyProtection="1">
      <alignment horizontal="center" vertical="center" wrapText="1"/>
    </xf>
    <xf numFmtId="0" fontId="5" fillId="0" borderId="31" xfId="2" applyBorder="1" applyAlignment="1">
      <alignment horizontal="center"/>
    </xf>
    <xf numFmtId="0" fontId="5" fillId="0" borderId="32" xfId="2" applyBorder="1" applyAlignment="1">
      <alignment horizontal="center"/>
    </xf>
    <xf numFmtId="0" fontId="5" fillId="0" borderId="33" xfId="2" applyBorder="1" applyAlignment="1">
      <alignment horizontal="center"/>
    </xf>
    <xf numFmtId="0" fontId="5" fillId="0" borderId="34" xfId="2" applyBorder="1" applyAlignment="1">
      <alignment horizontal="center"/>
    </xf>
    <xf numFmtId="0" fontId="5" fillId="0" borderId="35" xfId="2" applyBorder="1" applyAlignment="1">
      <alignment horizontal="center"/>
    </xf>
    <xf numFmtId="0" fontId="5" fillId="0" borderId="36" xfId="2" applyBorder="1" applyAlignment="1">
      <alignment horizontal="center"/>
    </xf>
    <xf numFmtId="0" fontId="11" fillId="2" borderId="31" xfId="2" applyFont="1" applyFill="1" applyBorder="1" applyAlignment="1" applyProtection="1">
      <alignment horizontal="center" vertical="center" shrinkToFit="1"/>
    </xf>
    <xf numFmtId="0" fontId="11" fillId="2" borderId="32" xfId="2" applyFont="1" applyFill="1" applyBorder="1" applyAlignment="1" applyProtection="1">
      <alignment horizontal="center" vertical="center" shrinkToFit="1"/>
    </xf>
    <xf numFmtId="0" fontId="11" fillId="2" borderId="33" xfId="2" applyFont="1" applyFill="1" applyBorder="1" applyAlignment="1" applyProtection="1">
      <alignment horizontal="center" vertical="center" shrinkToFit="1"/>
    </xf>
    <xf numFmtId="175" fontId="6" fillId="0" borderId="56" xfId="2" applyNumberFormat="1" applyFont="1" applyFill="1" applyBorder="1" applyAlignment="1" applyProtection="1">
      <alignment horizontal="left" vertical="center" shrinkToFit="1"/>
    </xf>
    <xf numFmtId="175" fontId="6" fillId="0" borderId="37" xfId="2" applyNumberFormat="1" applyFont="1" applyFill="1" applyBorder="1" applyAlignment="1" applyProtection="1">
      <alignment horizontal="left" vertical="center" shrinkToFit="1"/>
    </xf>
    <xf numFmtId="198" fontId="6" fillId="0" borderId="6" xfId="2" applyNumberFormat="1" applyFont="1" applyFill="1" applyBorder="1" applyAlignment="1" applyProtection="1">
      <alignment horizontal="left" vertical="center" shrinkToFit="1"/>
    </xf>
    <xf numFmtId="198" fontId="6" fillId="0" borderId="7" xfId="2" applyNumberFormat="1" applyFont="1" applyFill="1" applyBorder="1" applyAlignment="1" applyProtection="1">
      <alignment horizontal="left" vertical="center" shrinkToFit="1"/>
    </xf>
    <xf numFmtId="0" fontId="11" fillId="2" borderId="31" xfId="2" applyFont="1" applyFill="1" applyBorder="1" applyAlignment="1" applyProtection="1">
      <alignment horizontal="center" vertical="center" shrinkToFit="1" readingOrder="2"/>
    </xf>
    <xf numFmtId="0" fontId="11" fillId="2" borderId="32" xfId="2" applyFont="1" applyFill="1" applyBorder="1" applyAlignment="1" applyProtection="1">
      <alignment horizontal="center" vertical="center" shrinkToFit="1" readingOrder="2"/>
    </xf>
    <xf numFmtId="0" fontId="11" fillId="2" borderId="33" xfId="2" applyFont="1" applyFill="1" applyBorder="1" applyAlignment="1" applyProtection="1">
      <alignment horizontal="center" vertical="center" shrinkToFit="1" readingOrder="2"/>
    </xf>
    <xf numFmtId="0" fontId="6" fillId="9" borderId="1" xfId="2" applyFont="1" applyFill="1" applyBorder="1" applyAlignment="1" applyProtection="1">
      <alignment horizontal="center" vertical="center" textRotation="90" shrinkToFit="1"/>
    </xf>
    <xf numFmtId="0" fontId="6" fillId="9" borderId="3" xfId="2" applyFont="1" applyFill="1" applyBorder="1" applyAlignment="1" applyProtection="1">
      <alignment horizontal="center" vertical="center" textRotation="90" shrinkToFit="1"/>
    </xf>
    <xf numFmtId="0" fontId="6" fillId="9" borderId="6" xfId="2" applyFont="1" applyFill="1" applyBorder="1" applyAlignment="1" applyProtection="1">
      <alignment horizontal="center" vertical="center" textRotation="90" shrinkToFit="1"/>
    </xf>
    <xf numFmtId="0" fontId="6" fillId="0" borderId="71" xfId="2" applyFont="1" applyBorder="1" applyAlignment="1" applyProtection="1">
      <alignment horizontal="right" vertical="center" shrinkToFit="1"/>
    </xf>
    <xf numFmtId="0" fontId="6" fillId="0" borderId="72" xfId="2" applyFont="1" applyBorder="1" applyAlignment="1" applyProtection="1">
      <alignment horizontal="right" vertical="center" shrinkToFit="1"/>
    </xf>
    <xf numFmtId="0" fontId="6" fillId="0" borderId="74" xfId="2" applyNumberFormat="1" applyFont="1" applyBorder="1" applyAlignment="1" applyProtection="1">
      <alignment horizontal="right" vertical="center" shrinkToFit="1" readingOrder="2"/>
    </xf>
    <xf numFmtId="0" fontId="6" fillId="0" borderId="75" xfId="2" applyNumberFormat="1" applyFont="1" applyBorder="1" applyAlignment="1" applyProtection="1">
      <alignment horizontal="right" vertical="center" shrinkToFit="1" readingOrder="2"/>
    </xf>
    <xf numFmtId="0" fontId="6" fillId="9" borderId="39" xfId="2" applyFont="1" applyFill="1" applyBorder="1" applyAlignment="1" applyProtection="1">
      <alignment horizontal="right" vertical="center" shrinkToFit="1"/>
    </xf>
    <xf numFmtId="0" fontId="6" fillId="9" borderId="40" xfId="2" applyFont="1" applyFill="1" applyBorder="1" applyAlignment="1" applyProtection="1">
      <alignment horizontal="right" vertical="center" shrinkToFit="1"/>
    </xf>
    <xf numFmtId="0" fontId="8" fillId="9" borderId="41" xfId="2" applyFont="1" applyFill="1" applyBorder="1" applyAlignment="1" applyProtection="1">
      <alignment horizontal="right" vertical="center" shrinkToFit="1"/>
    </xf>
    <xf numFmtId="0" fontId="6" fillId="0" borderId="2" xfId="2" applyNumberFormat="1" applyFont="1" applyFill="1" applyBorder="1" applyAlignment="1" applyProtection="1">
      <alignment horizontal="center" vertical="center" shrinkToFit="1" readingOrder="2"/>
    </xf>
    <xf numFmtId="164" fontId="16" fillId="0" borderId="2" xfId="2" applyNumberFormat="1" applyFont="1" applyFill="1" applyBorder="1" applyAlignment="1" applyProtection="1">
      <alignment horizontal="center" vertical="center" shrinkToFit="1"/>
    </xf>
    <xf numFmtId="0" fontId="23" fillId="0" borderId="31" xfId="0" applyFont="1" applyBorder="1" applyAlignment="1" applyProtection="1">
      <alignment horizontal="center" vertical="center" shrinkToFit="1"/>
    </xf>
    <xf numFmtId="0" fontId="23" fillId="0" borderId="32" xfId="0" applyFont="1" applyBorder="1" applyAlignment="1" applyProtection="1">
      <alignment horizontal="center" vertical="center" shrinkToFit="1"/>
    </xf>
    <xf numFmtId="0" fontId="23" fillId="0" borderId="33" xfId="0" applyFont="1" applyBorder="1" applyAlignment="1" applyProtection="1">
      <alignment horizontal="center" vertical="center" shrinkToFit="1"/>
    </xf>
    <xf numFmtId="0" fontId="6" fillId="9" borderId="29" xfId="2" applyFont="1" applyFill="1" applyBorder="1" applyAlignment="1" applyProtection="1">
      <alignment horizontal="center" vertical="center" textRotation="90" shrinkToFit="1" readingOrder="1"/>
    </xf>
    <xf numFmtId="0" fontId="6" fillId="9" borderId="30" xfId="2" applyFont="1" applyFill="1" applyBorder="1" applyAlignment="1" applyProtection="1">
      <alignment horizontal="center" vertical="center" textRotation="90" shrinkToFit="1" readingOrder="1"/>
    </xf>
    <xf numFmtId="0" fontId="6" fillId="9" borderId="9" xfId="2" applyFont="1" applyFill="1" applyBorder="1" applyAlignment="1" applyProtection="1">
      <alignment horizontal="center" vertical="center" textRotation="90" shrinkToFit="1" readingOrder="1"/>
    </xf>
    <xf numFmtId="3" fontId="6" fillId="9" borderId="29" xfId="2" applyNumberFormat="1" applyFont="1" applyFill="1" applyBorder="1" applyAlignment="1" applyProtection="1">
      <alignment horizontal="center" vertical="center" textRotation="90" shrinkToFit="1" readingOrder="2"/>
    </xf>
    <xf numFmtId="3" fontId="6" fillId="9" borderId="30" xfId="2" applyNumberFormat="1" applyFont="1" applyFill="1" applyBorder="1" applyAlignment="1" applyProtection="1">
      <alignment horizontal="center" vertical="center" textRotation="90" shrinkToFit="1" readingOrder="2"/>
    </xf>
    <xf numFmtId="3" fontId="6" fillId="9" borderId="9" xfId="2" applyNumberFormat="1" applyFont="1" applyFill="1" applyBorder="1" applyAlignment="1" applyProtection="1">
      <alignment horizontal="center" vertical="center" textRotation="90" shrinkToFit="1" readingOrder="2"/>
    </xf>
    <xf numFmtId="0" fontId="6" fillId="9" borderId="1" xfId="2" applyFont="1" applyFill="1" applyBorder="1" applyAlignment="1" applyProtection="1">
      <alignment horizontal="center" vertical="center" shrinkToFit="1"/>
    </xf>
    <xf numFmtId="0" fontId="6" fillId="9" borderId="2" xfId="2" applyFont="1" applyFill="1" applyBorder="1" applyAlignment="1" applyProtection="1">
      <alignment horizontal="center" vertical="center" shrinkToFit="1"/>
    </xf>
    <xf numFmtId="0" fontId="6" fillId="9" borderId="4" xfId="2" applyFont="1" applyFill="1" applyBorder="1" applyAlignment="1" applyProtection="1">
      <alignment horizontal="center" vertical="center" shrinkToFit="1"/>
    </xf>
    <xf numFmtId="0" fontId="6" fillId="9" borderId="3" xfId="2" applyFont="1" applyFill="1" applyBorder="1" applyAlignment="1" applyProtection="1">
      <alignment horizontal="right" vertical="center" shrinkToFit="1"/>
    </xf>
    <xf numFmtId="0" fontId="6" fillId="9" borderId="0" xfId="2" applyFont="1" applyFill="1" applyBorder="1" applyAlignment="1" applyProtection="1">
      <alignment horizontal="right" vertical="center" shrinkToFit="1"/>
    </xf>
    <xf numFmtId="0" fontId="8" fillId="9" borderId="5" xfId="2" applyFont="1" applyFill="1" applyBorder="1" applyAlignment="1" applyProtection="1">
      <alignment horizontal="right" vertical="center" shrinkToFit="1"/>
    </xf>
    <xf numFmtId="3" fontId="6" fillId="0" borderId="81" xfId="2" applyNumberFormat="1" applyFont="1" applyBorder="1" applyAlignment="1" applyProtection="1">
      <alignment horizontal="right" vertical="center" shrinkToFit="1" readingOrder="2"/>
    </xf>
    <xf numFmtId="0" fontId="6" fillId="0" borderId="80" xfId="2" applyNumberFormat="1" applyFont="1" applyBorder="1" applyAlignment="1" applyProtection="1">
      <alignment horizontal="right" vertical="center" shrinkToFit="1" readingOrder="2"/>
    </xf>
    <xf numFmtId="0" fontId="6" fillId="0" borderId="82" xfId="2" applyNumberFormat="1" applyFont="1" applyBorder="1" applyAlignment="1" applyProtection="1">
      <alignment horizontal="right" vertical="center" shrinkToFit="1" readingOrder="2"/>
    </xf>
    <xf numFmtId="3" fontId="6" fillId="0" borderId="77" xfId="2" applyNumberFormat="1" applyFont="1" applyBorder="1" applyAlignment="1" applyProtection="1">
      <alignment horizontal="right" vertical="center" shrinkToFit="1"/>
    </xf>
    <xf numFmtId="0" fontId="6" fillId="0" borderId="77" xfId="2" applyNumberFormat="1" applyFont="1" applyBorder="1" applyAlignment="1" applyProtection="1">
      <alignment horizontal="right" vertical="center" shrinkToFit="1"/>
    </xf>
    <xf numFmtId="0" fontId="6" fillId="0" borderId="78" xfId="2" applyNumberFormat="1" applyFont="1" applyBorder="1" applyAlignment="1" applyProtection="1">
      <alignment horizontal="right" vertical="center" shrinkToFit="1"/>
    </xf>
    <xf numFmtId="0" fontId="4" fillId="0" borderId="0" xfId="0" applyFont="1" applyAlignment="1" applyProtection="1">
      <alignment horizontal="center" shrinkToFit="1"/>
    </xf>
    <xf numFmtId="0" fontId="6" fillId="0" borderId="2" xfId="2" applyFont="1" applyFill="1" applyBorder="1" applyAlignment="1" applyProtection="1">
      <alignment horizontal="center" vertical="center" shrinkToFit="1"/>
    </xf>
    <xf numFmtId="0" fontId="8" fillId="9" borderId="4" xfId="2" applyFont="1" applyFill="1" applyBorder="1" applyAlignment="1" applyProtection="1">
      <alignment horizontal="center" vertical="center" shrinkToFit="1"/>
    </xf>
    <xf numFmtId="0" fontId="6" fillId="5" borderId="83" xfId="2" applyFont="1" applyFill="1" applyBorder="1" applyAlignment="1" applyProtection="1">
      <alignment horizontal="right" vertical="top" shrinkToFit="1"/>
    </xf>
    <xf numFmtId="0" fontId="6" fillId="5" borderId="89" xfId="2" applyFont="1" applyFill="1" applyBorder="1" applyAlignment="1" applyProtection="1">
      <alignment horizontal="right" vertical="top" shrinkToFit="1"/>
    </xf>
    <xf numFmtId="0" fontId="6" fillId="5" borderId="84" xfId="2" applyFont="1" applyFill="1" applyBorder="1" applyAlignment="1" applyProtection="1">
      <alignment horizontal="right" vertical="top" shrinkToFit="1"/>
    </xf>
    <xf numFmtId="3" fontId="6" fillId="0" borderId="85" xfId="2" applyNumberFormat="1" applyFont="1" applyBorder="1" applyAlignment="1" applyProtection="1">
      <alignment horizontal="right" vertical="top" wrapText="1" shrinkToFit="1"/>
    </xf>
    <xf numFmtId="3" fontId="6" fillId="0" borderId="86" xfId="2" applyNumberFormat="1" applyFont="1" applyBorder="1" applyAlignment="1" applyProtection="1">
      <alignment horizontal="right" vertical="top" wrapText="1" shrinkToFit="1"/>
    </xf>
    <xf numFmtId="3" fontId="6" fillId="0" borderId="87" xfId="2" applyNumberFormat="1" applyFont="1" applyBorder="1" applyAlignment="1" applyProtection="1">
      <alignment horizontal="right" vertical="top" wrapText="1" shrinkToFit="1"/>
    </xf>
    <xf numFmtId="3" fontId="6" fillId="0" borderId="90" xfId="2" applyNumberFormat="1" applyFont="1" applyBorder="1" applyAlignment="1" applyProtection="1">
      <alignment horizontal="right" vertical="top" wrapText="1" shrinkToFit="1"/>
    </xf>
    <xf numFmtId="3" fontId="6" fillId="0" borderId="0" xfId="2" applyNumberFormat="1" applyFont="1" applyBorder="1" applyAlignment="1" applyProtection="1">
      <alignment horizontal="right" vertical="top" wrapText="1" shrinkToFit="1"/>
    </xf>
    <xf numFmtId="3" fontId="6" fillId="0" borderId="5" xfId="2" applyNumberFormat="1" applyFont="1" applyBorder="1" applyAlignment="1" applyProtection="1">
      <alignment horizontal="right" vertical="top" wrapText="1" shrinkToFit="1"/>
    </xf>
    <xf numFmtId="3" fontId="6" fillId="0" borderId="88" xfId="2" applyNumberFormat="1" applyFont="1" applyBorder="1" applyAlignment="1" applyProtection="1">
      <alignment horizontal="right" vertical="top" wrapText="1" shrinkToFit="1"/>
    </xf>
    <xf numFmtId="3" fontId="6" fillId="0" borderId="7" xfId="2" applyNumberFormat="1" applyFont="1" applyBorder="1" applyAlignment="1" applyProtection="1">
      <alignment horizontal="right" vertical="top" wrapText="1" shrinkToFit="1"/>
    </xf>
    <xf numFmtId="3" fontId="6" fillId="0" borderId="8" xfId="2" applyNumberFormat="1" applyFont="1" applyBorder="1" applyAlignment="1" applyProtection="1">
      <alignment horizontal="right" vertical="top" wrapText="1" shrinkToFit="1"/>
    </xf>
    <xf numFmtId="175" fontId="6" fillId="0" borderId="3" xfId="2" applyNumberFormat="1" applyFont="1" applyFill="1" applyBorder="1" applyAlignment="1" applyProtection="1">
      <alignment horizontal="left" vertical="center" shrinkToFit="1"/>
    </xf>
    <xf numFmtId="175" fontId="6" fillId="0" borderId="0" xfId="2" applyNumberFormat="1" applyFont="1" applyFill="1" applyBorder="1" applyAlignment="1" applyProtection="1">
      <alignment horizontal="left" vertical="center" shrinkToFit="1"/>
    </xf>
    <xf numFmtId="0" fontId="5" fillId="0" borderId="10" xfId="2" applyBorder="1" applyAlignment="1">
      <alignment horizontal="center"/>
    </xf>
    <xf numFmtId="0" fontId="5" fillId="0" borderId="20" xfId="2" applyBorder="1" applyAlignment="1">
      <alignment horizontal="center"/>
    </xf>
    <xf numFmtId="0" fontId="5" fillId="0" borderId="21" xfId="2" applyBorder="1" applyAlignment="1">
      <alignment horizontal="center"/>
    </xf>
    <xf numFmtId="0" fontId="5" fillId="0" borderId="11" xfId="2" applyBorder="1" applyAlignment="1">
      <alignment horizontal="center"/>
    </xf>
    <xf numFmtId="49" fontId="46" fillId="13" borderId="0" xfId="2" applyNumberFormat="1" applyFont="1" applyFill="1" applyAlignment="1">
      <alignment horizontal="right" wrapText="1" readingOrder="2"/>
    </xf>
    <xf numFmtId="0" fontId="6" fillId="0" borderId="30" xfId="2" applyFont="1" applyBorder="1" applyAlignment="1">
      <alignment horizontal="left" vertical="center" textRotation="90"/>
    </xf>
    <xf numFmtId="0" fontId="16" fillId="0" borderId="37" xfId="2" applyFont="1" applyBorder="1" applyAlignment="1">
      <alignment horizontal="center"/>
    </xf>
    <xf numFmtId="0" fontId="16" fillId="0" borderId="0" xfId="2" applyFont="1" applyBorder="1" applyAlignment="1">
      <alignment horizontal="center"/>
    </xf>
    <xf numFmtId="0" fontId="16" fillId="0" borderId="1" xfId="2" applyFont="1" applyBorder="1" applyAlignment="1">
      <alignment horizontal="center" wrapText="1"/>
    </xf>
    <xf numFmtId="0" fontId="16" fillId="0" borderId="4" xfId="2" applyFont="1" applyBorder="1" applyAlignment="1">
      <alignment horizontal="center" wrapText="1"/>
    </xf>
    <xf numFmtId="0" fontId="16" fillId="0" borderId="3" xfId="2" applyFont="1" applyBorder="1" applyAlignment="1">
      <alignment horizontal="center" wrapText="1"/>
    </xf>
    <xf numFmtId="0" fontId="16" fillId="0" borderId="5" xfId="2" applyFont="1" applyBorder="1" applyAlignment="1">
      <alignment horizontal="center" wrapText="1"/>
    </xf>
    <xf numFmtId="0" fontId="16" fillId="0" borderId="6" xfId="2" applyFont="1" applyBorder="1" applyAlignment="1">
      <alignment horizontal="center" wrapText="1"/>
    </xf>
    <xf numFmtId="0" fontId="16" fillId="0" borderId="8" xfId="2" applyFont="1" applyBorder="1" applyAlignment="1">
      <alignment horizontal="center" wrapText="1"/>
    </xf>
    <xf numFmtId="0" fontId="40" fillId="0" borderId="10" xfId="2" applyFont="1" applyBorder="1" applyAlignment="1">
      <alignment horizontal="center" vertical="center"/>
    </xf>
    <xf numFmtId="0" fontId="40" fillId="0" borderId="22" xfId="2" applyFont="1" applyBorder="1" applyAlignment="1">
      <alignment horizontal="center" vertical="center"/>
    </xf>
    <xf numFmtId="0" fontId="40" fillId="0" borderId="10" xfId="2" applyFont="1" applyBorder="1" applyAlignment="1">
      <alignment horizontal="center" vertical="center" wrapText="1"/>
    </xf>
    <xf numFmtId="0" fontId="40" fillId="0" borderId="22" xfId="2" applyFont="1" applyBorder="1" applyAlignment="1">
      <alignment horizontal="center" vertical="center" wrapText="1"/>
    </xf>
    <xf numFmtId="0" fontId="36" fillId="7" borderId="50" xfId="0" applyFont="1" applyFill="1" applyBorder="1" applyAlignment="1">
      <alignment horizontal="center" vertical="center" wrapText="1"/>
    </xf>
    <xf numFmtId="0" fontId="36" fillId="7" borderId="53" xfId="0" applyFont="1" applyFill="1" applyBorder="1" applyAlignment="1">
      <alignment horizontal="center" vertical="center" wrapText="1"/>
    </xf>
    <xf numFmtId="0" fontId="37" fillId="7" borderId="50" xfId="0" applyFont="1" applyFill="1" applyBorder="1" applyAlignment="1">
      <alignment horizontal="center" vertical="center"/>
    </xf>
    <xf numFmtId="0" fontId="37" fillId="7" borderId="53" xfId="0" applyFont="1" applyFill="1" applyBorder="1" applyAlignment="1">
      <alignment horizontal="center" vertical="center"/>
    </xf>
    <xf numFmtId="0" fontId="23" fillId="5" borderId="0" xfId="0" applyFont="1" applyFill="1" applyBorder="1" applyAlignment="1">
      <alignment horizontal="center"/>
    </xf>
    <xf numFmtId="0" fontId="24" fillId="5" borderId="14" xfId="0" applyFont="1" applyFill="1" applyBorder="1" applyAlignment="1">
      <alignment horizontal="center"/>
    </xf>
    <xf numFmtId="0" fontId="24" fillId="5" borderId="42" xfId="0" applyFont="1" applyFill="1" applyBorder="1" applyAlignment="1">
      <alignment horizontal="center"/>
    </xf>
    <xf numFmtId="0" fontId="24" fillId="5" borderId="38" xfId="0" applyFont="1" applyFill="1" applyBorder="1" applyAlignment="1">
      <alignment horizontal="center"/>
    </xf>
    <xf numFmtId="0" fontId="24" fillId="0" borderId="31" xfId="0" applyFont="1" applyBorder="1" applyAlignment="1">
      <alignment horizontal="center"/>
    </xf>
    <xf numFmtId="0" fontId="24" fillId="0" borderId="32" xfId="0" applyFont="1" applyBorder="1" applyAlignment="1">
      <alignment horizontal="center"/>
    </xf>
    <xf numFmtId="0" fontId="24" fillId="0" borderId="33" xfId="0" applyFont="1" applyBorder="1" applyAlignment="1">
      <alignment horizontal="center"/>
    </xf>
    <xf numFmtId="0" fontId="46" fillId="13" borderId="13" xfId="2" applyFont="1" applyFill="1" applyBorder="1" applyAlignment="1" applyProtection="1">
      <alignment horizontal="center" vertical="center" readingOrder="2"/>
      <protection locked="0"/>
    </xf>
    <xf numFmtId="0" fontId="46" fillId="13" borderId="15" xfId="2" applyFont="1" applyFill="1" applyBorder="1" applyAlignment="1" applyProtection="1">
      <alignment horizontal="center" vertical="center" readingOrder="2"/>
      <protection locked="0"/>
    </xf>
    <xf numFmtId="0" fontId="51" fillId="13" borderId="13" xfId="2" applyFont="1" applyFill="1" applyBorder="1" applyAlignment="1" applyProtection="1">
      <alignment horizontal="center" vertical="center"/>
      <protection locked="0"/>
    </xf>
    <xf numFmtId="0" fontId="51" fillId="13" borderId="15" xfId="2" applyFont="1" applyFill="1" applyBorder="1" applyAlignment="1" applyProtection="1">
      <alignment horizontal="center" vertical="center"/>
      <protection locked="0"/>
    </xf>
    <xf numFmtId="0" fontId="57" fillId="13" borderId="21" xfId="2" applyFont="1" applyFill="1" applyBorder="1" applyAlignment="1" applyProtection="1">
      <alignment horizontal="center"/>
      <protection locked="0"/>
    </xf>
    <xf numFmtId="0" fontId="57" fillId="13" borderId="61" xfId="2" applyFont="1" applyFill="1" applyBorder="1" applyAlignment="1" applyProtection="1">
      <alignment horizontal="center"/>
      <protection locked="0"/>
    </xf>
    <xf numFmtId="0" fontId="57" fillId="13" borderId="62" xfId="2" applyFont="1" applyFill="1" applyBorder="1" applyAlignment="1" applyProtection="1">
      <alignment horizontal="center"/>
      <protection locked="0"/>
    </xf>
    <xf numFmtId="0" fontId="57" fillId="0" borderId="21" xfId="2" applyFont="1" applyFill="1" applyBorder="1" applyAlignment="1">
      <alignment horizontal="center"/>
    </xf>
    <xf numFmtId="0" fontId="57" fillId="0" borderId="61" xfId="2" applyFont="1" applyFill="1" applyBorder="1" applyAlignment="1">
      <alignment horizontal="center"/>
    </xf>
    <xf numFmtId="0" fontId="46" fillId="0" borderId="13" xfId="2" applyFont="1" applyBorder="1" applyAlignment="1" applyProtection="1">
      <alignment horizontal="center" vertical="center" readingOrder="2"/>
    </xf>
    <xf numFmtId="0" fontId="51" fillId="0" borderId="13" xfId="2" applyFont="1" applyBorder="1" applyAlignment="1" applyProtection="1">
      <alignment horizontal="center" vertical="center"/>
    </xf>
    <xf numFmtId="0" fontId="57" fillId="0" borderId="59" xfId="2" applyFont="1" applyFill="1" applyBorder="1" applyAlignment="1">
      <alignment horizontal="center"/>
    </xf>
    <xf numFmtId="0" fontId="46" fillId="0" borderId="12" xfId="2" applyFont="1" applyBorder="1" applyAlignment="1" applyProtection="1">
      <alignment horizontal="center" vertical="center" readingOrder="2"/>
    </xf>
    <xf numFmtId="49" fontId="60" fillId="13" borderId="0" xfId="0" applyNumberFormat="1" applyFont="1" applyFill="1" applyAlignment="1">
      <alignment horizontal="right" vertical="top" wrapText="1" readingOrder="2"/>
    </xf>
    <xf numFmtId="0" fontId="52" fillId="0" borderId="31" xfId="0" applyFont="1" applyBorder="1" applyAlignment="1">
      <alignment horizontal="left"/>
    </xf>
    <xf numFmtId="0" fontId="52" fillId="0" borderId="32" xfId="0" applyFont="1" applyBorder="1" applyAlignment="1">
      <alignment horizontal="left"/>
    </xf>
    <xf numFmtId="0" fontId="52" fillId="0" borderId="32" xfId="0" applyFont="1" applyBorder="1" applyAlignment="1">
      <alignment horizontal="right"/>
    </xf>
    <xf numFmtId="0" fontId="52" fillId="0" borderId="33" xfId="0" applyFont="1" applyBorder="1" applyAlignment="1">
      <alignment horizontal="right"/>
    </xf>
    <xf numFmtId="0" fontId="52" fillId="0" borderId="32" xfId="0" applyFont="1" applyBorder="1" applyAlignment="1" applyProtection="1">
      <alignment horizontal="right"/>
      <protection locked="0"/>
    </xf>
    <xf numFmtId="0" fontId="52" fillId="0" borderId="33" xfId="0" applyFont="1" applyBorder="1" applyAlignment="1" applyProtection="1">
      <alignment horizontal="right"/>
      <protection locked="0"/>
    </xf>
    <xf numFmtId="0" fontId="52" fillId="0" borderId="31" xfId="0" applyFont="1" applyBorder="1" applyAlignment="1" applyProtection="1">
      <alignment horizontal="left"/>
      <protection locked="0"/>
    </xf>
    <xf numFmtId="0" fontId="52" fillId="0" borderId="32" xfId="0" applyFont="1" applyBorder="1" applyAlignment="1" applyProtection="1">
      <alignment horizontal="left"/>
      <protection locked="0"/>
    </xf>
    <xf numFmtId="0" fontId="51" fillId="0" borderId="12" xfId="2" applyFont="1" applyBorder="1" applyAlignment="1" applyProtection="1">
      <alignment horizontal="center" vertical="center"/>
    </xf>
    <xf numFmtId="0" fontId="57" fillId="0" borderId="67" xfId="2" applyFont="1" applyBorder="1" applyAlignment="1">
      <alignment horizontal="center"/>
    </xf>
    <xf numFmtId="0" fontId="57" fillId="0" borderId="61" xfId="2" applyFont="1" applyBorder="1" applyAlignment="1">
      <alignment horizontal="center"/>
    </xf>
    <xf numFmtId="0" fontId="60" fillId="0" borderId="0" xfId="0" applyFont="1" applyAlignment="1">
      <alignment horizontal="center"/>
    </xf>
    <xf numFmtId="0" fontId="60" fillId="0" borderId="0" xfId="0" applyFont="1" applyAlignment="1">
      <alignment horizontal="center" vertical="center"/>
    </xf>
  </cellXfs>
  <cellStyles count="7">
    <cellStyle name="Comma" xfId="5" builtinId="3"/>
    <cellStyle name="Comma 2" xfId="1"/>
    <cellStyle name="Normal" xfId="0" builtinId="0"/>
    <cellStyle name="Normal 2" xfId="2"/>
    <cellStyle name="Normal 3" xfId="6"/>
    <cellStyle name="Percent" xfId="4" builtinId="5"/>
    <cellStyle name="Percent 2" xfId="3"/>
  </cellStyles>
  <dxfs count="94">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0" formatCode="General"/>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0" formatCode="General"/>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30" formatCode="@"/>
      <alignment vertical="bottom" textRotation="0" wrapText="0" indent="0" justifyLastLine="0" shrinkToFit="0" readingOrder="2"/>
    </dxf>
    <dxf>
      <font>
        <b val="0"/>
        <i val="0"/>
        <strike val="0"/>
        <condense val="0"/>
        <extend val="0"/>
        <outline val="0"/>
        <shadow val="0"/>
        <u val="none"/>
        <vertAlign val="baseline"/>
        <sz val="10"/>
        <color theme="1"/>
        <name val="Tahoma"/>
        <scheme val="none"/>
      </font>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Tahoma"/>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left/>
        <right style="thin">
          <color auto="1"/>
        </right>
        <top style="thin">
          <color auto="1"/>
        </top>
        <bottom style="thin">
          <color auto="1"/>
        </bottom>
      </border>
    </dxf>
    <dxf>
      <border outline="0">
        <top style="thin">
          <color auto="1"/>
        </top>
      </border>
    </dxf>
    <dxf>
      <border outline="0">
        <left style="medium">
          <color indexed="64"/>
        </left>
        <right style="medium">
          <color indexed="64"/>
        </right>
        <top style="medium">
          <color indexed="64"/>
        </top>
        <bottom style="medium">
          <color indexed="64"/>
        </bottom>
      </border>
    </dxf>
    <dxf>
      <font>
        <b val="0"/>
        <strike val="0"/>
        <outline val="0"/>
        <shadow val="0"/>
        <u val="none"/>
        <vertAlign val="baseline"/>
        <sz val="11"/>
        <color indexed="8"/>
        <name val="Tahoma"/>
        <scheme val="none"/>
      </font>
    </dxf>
    <dxf>
      <border outline="0">
        <bottom style="thin">
          <color auto="1"/>
        </bottom>
      </border>
    </dxf>
    <dxf>
      <font>
        <b val="0"/>
        <i val="0"/>
        <strike val="0"/>
        <condense val="0"/>
        <extend val="0"/>
        <outline val="0"/>
        <shadow val="0"/>
        <u val="none"/>
        <vertAlign val="baseline"/>
        <sz val="11"/>
        <color indexed="8"/>
        <name val="Tahoma"/>
        <scheme val="none"/>
      </font>
      <border diagonalUp="0" diagonalDown="0" outline="0">
        <left style="thin">
          <color auto="1"/>
        </left>
        <right style="thin">
          <color auto="1"/>
        </right>
        <top/>
        <bottom/>
      </border>
    </dxf>
    <dxf>
      <font>
        <b val="0"/>
        <i val="0"/>
        <strike val="0"/>
        <condense val="0"/>
        <extend val="0"/>
        <outline val="0"/>
        <shadow val="0"/>
        <u val="none"/>
        <vertAlign val="baseline"/>
        <sz val="9"/>
        <color theme="1"/>
        <name val="Tahoma"/>
        <scheme val="none"/>
      </font>
      <alignment horizontal="right" vertical="bottom" textRotation="0" wrapText="0" indent="1" justifyLastLine="0" shrinkToFit="0" readingOrder="2"/>
    </dxf>
    <dxf>
      <font>
        <b val="0"/>
        <i val="0"/>
        <strike val="0"/>
        <condense val="0"/>
        <extend val="0"/>
        <outline val="0"/>
        <shadow val="0"/>
        <u val="none"/>
        <vertAlign val="baseline"/>
        <sz val="9"/>
        <color theme="1"/>
        <name val="Tahoma"/>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center" textRotation="0" wrapText="0" indent="0" justifyLastLine="0" shrinkToFit="0" readingOrder="0"/>
      <border diagonalUp="0" diagonalDown="0">
        <left style="thin">
          <color indexed="64"/>
        </left>
        <right/>
        <top/>
        <bottom/>
        <vertical/>
        <horizontal/>
      </border>
    </dxf>
    <dxf>
      <border outline="0">
        <left style="thin">
          <color indexed="64"/>
        </left>
        <top style="thin">
          <color indexed="64"/>
        </top>
        <bottom style="thin">
          <color indexed="64"/>
        </bottom>
      </border>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rgb="FF9C0006"/>
      </font>
      <fill>
        <patternFill>
          <bgColor rgb="FFFFC7CE"/>
        </patternFill>
      </fill>
    </dxf>
    <dxf>
      <font>
        <color rgb="FFFF0000"/>
      </font>
    </dxf>
    <dxf>
      <font>
        <color rgb="FF9C0006"/>
      </font>
      <fill>
        <patternFill>
          <bgColor rgb="FFFFC7CE"/>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rgb="FFFFC7CE"/>
        </patternFill>
      </fill>
    </dxf>
    <dxf>
      <font>
        <color rgb="FF9C0006"/>
      </font>
      <fill>
        <patternFill>
          <bgColor rgb="FFFFC7CE"/>
        </patternFill>
      </fill>
    </dxf>
    <dxf>
      <font>
        <strike val="0"/>
        <color rgb="FF9C0006"/>
      </font>
      <fill>
        <patternFill>
          <bgColor rgb="FFFFC7CE"/>
        </patternFill>
      </fill>
    </dxf>
    <dxf>
      <font>
        <color rgb="FFFF0000"/>
      </font>
    </dxf>
    <dxf>
      <font>
        <color rgb="FF9C0006"/>
      </font>
      <fill>
        <patternFill>
          <bgColor theme="9" tint="0.59996337778862885"/>
        </patternFill>
      </fill>
    </dxf>
    <dxf>
      <font>
        <color rgb="FFC00000"/>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theme="5"/>
      </font>
    </dxf>
    <dxf>
      <font>
        <color rgb="FF9C0006"/>
      </font>
      <fill>
        <patternFill>
          <bgColor rgb="FFFFC7CE"/>
        </patternFill>
      </fill>
    </dxf>
    <dxf>
      <font>
        <color rgb="FFC00000"/>
      </font>
    </dxf>
    <dxf>
      <font>
        <color rgb="FFFF0000"/>
      </font>
    </dxf>
    <dxf>
      <font>
        <color rgb="FFFF6600"/>
      </font>
      <fill>
        <patternFill>
          <bgColor rgb="FFFFFF99"/>
        </patternFill>
      </fill>
    </dxf>
    <dxf>
      <font>
        <color theme="5"/>
      </font>
    </dxf>
    <dxf>
      <font>
        <color rgb="FF9C0006"/>
      </font>
      <fill>
        <patternFill>
          <bgColor rgb="FFFFC7CE"/>
        </patternFill>
      </fill>
    </dxf>
    <dxf>
      <font>
        <color theme="5"/>
      </font>
    </dxf>
    <dxf>
      <font>
        <color rgb="FFFF0000"/>
      </font>
    </dxf>
    <dxf>
      <font>
        <color rgb="FF9C0006"/>
      </font>
      <fill>
        <patternFill>
          <bgColor rgb="FFFFC8C8"/>
        </patternFill>
      </fill>
    </dxf>
    <dxf>
      <font>
        <color rgb="FFFF0000"/>
      </font>
    </dxf>
    <dxf>
      <font>
        <color theme="5"/>
      </font>
      <fill>
        <patternFill patternType="none">
          <bgColor auto="1"/>
        </patternFill>
      </fill>
    </dxf>
    <dxf>
      <font>
        <strike val="0"/>
        <color rgb="FF9C0006"/>
      </font>
      <fill>
        <patternFill>
          <bgColor rgb="FFFFC7CE"/>
        </patternFill>
      </fill>
    </dxf>
    <dxf>
      <font>
        <color rgb="FFFF0000"/>
      </font>
    </dxf>
    <dxf>
      <font>
        <color theme="5"/>
      </font>
    </dxf>
    <dxf>
      <font>
        <color rgb="FF9C0006"/>
      </font>
      <fill>
        <patternFill>
          <bgColor rgb="FFFFC7CE"/>
        </patternFill>
      </fill>
    </dxf>
  </dxfs>
  <tableStyles count="0" defaultTableStyle="TableStyleMedium2" defaultPivotStyle="PivotStyleLight16"/>
  <colors>
    <mruColors>
      <color rgb="FF9C0006"/>
      <color rgb="FFFFC8C8"/>
      <color rgb="FFFFFFCC"/>
      <color rgb="FFFF9900"/>
      <color rgb="FFFF6600"/>
      <color rgb="FFFFFF99"/>
      <color rgb="FFCC6600"/>
      <color rgb="FFFFFF00"/>
      <color rgb="FFA3FFA3"/>
      <color rgb="FF009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sharedStrings" Target="sharedStrings.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styles" Target="styles.xml"/><Relationship Id="rId2" Type="http://purl.oclc.org/ooxml/officeDocument/relationships/worksheet" Target="worksheets/sheet2.xml"/><Relationship Id="rId16" Type="http://purl.oclc.org/ooxml/officeDocument/relationships/theme" Target="theme/theme1.xml"/><Relationship Id="rId20" Type="http://purl.oclc.org/ooxml/officeDocument/relationships/customXml" Target="../customXml/item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worksheet" Target="worksheets/sheet15.xml"/><Relationship Id="rId10" Type="http://purl.oclc.org/ooxml/officeDocument/relationships/worksheet" Target="worksheets/sheet10.xml"/><Relationship Id="rId19" Type="http://purl.oclc.org/ooxml/officeDocument/relationships/calcChain" Target="calcChain.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4C599241-6926-101B-9992-00000B65C6F9}"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4C599241-6926-101B-9992-00000B65C6F9}"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purl.oclc.org/ooxml/drawingml/chart" xmlns:a="http://purl.oclc.org/ooxml/drawingml/main" xmlns:r="http://purl.oclc.org/ooxml/officeDocument/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a-IR"/>
              <a:t>مقدار </a:t>
            </a:r>
            <a:r>
              <a:rPr lang="en-US"/>
              <a:t> Nequiv(t)</a:t>
            </a:r>
            <a:r>
              <a:rPr lang="fa-IR"/>
              <a:t>برحسب زاویه شیار </a:t>
            </a:r>
            <a:r>
              <a:rPr lang="en-US"/>
              <a:t>V</a:t>
            </a:r>
            <a:endParaRPr lang="fa-IR"/>
          </a:p>
          <a:p>
            <a:pPr>
              <a:defRPr/>
            </a:pPr>
            <a:r>
              <a:rPr lang="fa-IR"/>
              <a:t>مقایسه بین </a:t>
            </a:r>
            <a:r>
              <a:rPr lang="en-US"/>
              <a:t>EN81-1 </a:t>
            </a:r>
            <a:r>
              <a:rPr lang="fa-IR"/>
              <a:t> و </a:t>
            </a:r>
            <a:r>
              <a:rPr lang="en-US"/>
              <a:t>EN81-50</a:t>
            </a:r>
          </a:p>
          <a:p>
            <a:pPr>
              <a:defRPr/>
            </a:pPr>
            <a:endParaRPr lang="en-US"/>
          </a:p>
        </c:rich>
      </c:tx>
      <c:overlay val="0"/>
    </c:title>
    <c:autoTitleDeleted val="0"/>
    <c:plotArea>
      <c:layout>
        <c:manualLayout>
          <c:layoutTarget val="inner"/>
          <c:xMode val="edge"/>
          <c:yMode val="edge"/>
          <c:x val="9.2803281421432363E-2"/>
          <c:y val="0.17938889952732812"/>
          <c:w val="0.73870813415679026"/>
          <c:h val="0.66981507426343634"/>
        </c:manualLayout>
      </c:layout>
      <c:scatterChart>
        <c:scatterStyle val="smoothMarker"/>
        <c:varyColors val="0"/>
        <c:ser>
          <c:idx val="0"/>
          <c:order val="0"/>
          <c:tx>
            <c:v>EN81-1</c:v>
          </c:tx>
          <c:xVal>
            <c:numRef>
              <c:f>'مساحت کابین &amp; Neq(t)'!$L$2:$T$2</c:f>
              <c:numCache>
                <c:formatCode>#\°</c:formatCode>
                <c:ptCount val="9"/>
                <c:pt idx="0">
                  <c:v>35</c:v>
                </c:pt>
                <c:pt idx="1">
                  <c:v>36</c:v>
                </c:pt>
                <c:pt idx="2">
                  <c:v>38</c:v>
                </c:pt>
                <c:pt idx="3">
                  <c:v>40</c:v>
                </c:pt>
                <c:pt idx="4">
                  <c:v>42</c:v>
                </c:pt>
                <c:pt idx="5">
                  <c:v>45</c:v>
                </c:pt>
                <c:pt idx="6">
                  <c:v>50</c:v>
                </c:pt>
                <c:pt idx="7">
                  <c:v>55</c:v>
                </c:pt>
                <c:pt idx="8">
                  <c:v>60</c:v>
                </c:pt>
              </c:numCache>
            </c:numRef>
          </c:xVal>
          <c:yVal>
            <c:numRef>
              <c:f>'مساحت کابین &amp; Neq(t)'!$L$3:$T$3</c:f>
              <c:numCache>
                <c:formatCode>0.0</c:formatCode>
                <c:ptCount val="9"/>
                <c:pt idx="0">
                  <c:v>18.5</c:v>
                </c:pt>
                <c:pt idx="1">
                  <c:v>15.2</c:v>
                </c:pt>
                <c:pt idx="2">
                  <c:v>10.5</c:v>
                </c:pt>
                <c:pt idx="3">
                  <c:v>7.1</c:v>
                </c:pt>
                <c:pt idx="4">
                  <c:v>5.6</c:v>
                </c:pt>
                <c:pt idx="5">
                  <c:v>4</c:v>
                </c:pt>
                <c:pt idx="6">
                  <c:v>3.1</c:v>
                </c:pt>
                <c:pt idx="7">
                  <c:v>2.7</c:v>
                </c:pt>
                <c:pt idx="8">
                  <c:v>2.5</c:v>
                </c:pt>
              </c:numCache>
            </c:numRef>
          </c:yVal>
          <c:smooth val="1"/>
          <c:extLst xmlns:c16r2="http://schemas.microsoft.com/office/drawing/2015/06/chart" xmlns:r="http://schemas.openxmlformats.org/officeDocument/2006/relationships" xmlns:a="http://schemas.openxmlformats.org/drawingml/2006/main" xmlns:c="http://schemas.openxmlformats.org/drawingml/2006/chart">
            <c:ext xmlns:c16="http://schemas.microsoft.com/office/drawing/2014/chart" uri="{C3380CC4-5D6E-409C-BE32-E72D297353CC}">
              <c16:uniqueId val="{00000000-9152-40A4-8C98-92B6C28D6769}"/>
            </c:ext>
          </c:extLst>
        </c:ser>
        <c:ser>
          <c:idx val="1"/>
          <c:order val="1"/>
          <c:tx>
            <c:v>En81-50</c:v>
          </c:tx>
          <c:xVal>
            <c:numRef>
              <c:f>'مساحت کابین &amp; Neq(t)'!$AB$2:$AJ$2</c:f>
              <c:numCache>
                <c:formatCode>#\°</c:formatCode>
                <c:ptCount val="9"/>
                <c:pt idx="0">
                  <c:v>35</c:v>
                </c:pt>
                <c:pt idx="1">
                  <c:v>36</c:v>
                </c:pt>
                <c:pt idx="2">
                  <c:v>38</c:v>
                </c:pt>
                <c:pt idx="3">
                  <c:v>40</c:v>
                </c:pt>
                <c:pt idx="4">
                  <c:v>42</c:v>
                </c:pt>
                <c:pt idx="5">
                  <c:v>45</c:v>
                </c:pt>
                <c:pt idx="6">
                  <c:v>50</c:v>
                </c:pt>
                <c:pt idx="7">
                  <c:v>55</c:v>
                </c:pt>
                <c:pt idx="8">
                  <c:v>60</c:v>
                </c:pt>
              </c:numCache>
            </c:numRef>
          </c:xVal>
          <c:yVal>
            <c:numRef>
              <c:f>'مساحت کابین &amp; Neq(t)'!$AB$3:$AJ$3</c:f>
              <c:numCache>
                <c:formatCode>0.0</c:formatCode>
                <c:ptCount val="9"/>
                <c:pt idx="0">
                  <c:v>18.5</c:v>
                </c:pt>
                <c:pt idx="1">
                  <c:v>16</c:v>
                </c:pt>
                <c:pt idx="2">
                  <c:v>12</c:v>
                </c:pt>
                <c:pt idx="3">
                  <c:v>10</c:v>
                </c:pt>
                <c:pt idx="4">
                  <c:v>8</c:v>
                </c:pt>
                <c:pt idx="5">
                  <c:v>6.5</c:v>
                </c:pt>
                <c:pt idx="6">
                  <c:v>5</c:v>
                </c:pt>
                <c:pt idx="7">
                  <c:v>4.5</c:v>
                </c:pt>
                <c:pt idx="8">
                  <c:v>4.2</c:v>
                </c:pt>
              </c:numCache>
            </c:numRef>
          </c:yVal>
          <c:smooth val="1"/>
          <c:extLst xmlns:c16r2="http://schemas.microsoft.com/office/drawing/2015/06/chart" xmlns:r="http://schemas.openxmlformats.org/officeDocument/2006/relationships" xmlns:a="http://schemas.openxmlformats.org/drawingml/2006/main" xmlns:c="http://schemas.openxmlformats.org/drawingml/2006/chart">
            <c:ext xmlns:c16="http://schemas.microsoft.com/office/drawing/2014/chart" uri="{C3380CC4-5D6E-409C-BE32-E72D297353CC}">
              <c16:uniqueId val="{00000001-9152-40A4-8C98-92B6C28D6769}"/>
            </c:ext>
          </c:extLst>
        </c:ser>
        <c:dLbls>
          <c:showLegendKey val="0"/>
          <c:showVal val="0"/>
          <c:showCatName val="0"/>
          <c:showSerName val="0"/>
          <c:showPercent val="0"/>
          <c:showBubbleSize val="0"/>
        </c:dLbls>
        <c:axId val="241514352"/>
        <c:axId val="241514744"/>
      </c:scatterChart>
      <c:valAx>
        <c:axId val="241514352"/>
        <c:scaling>
          <c:orientation val="minMax"/>
          <c:max val="60"/>
          <c:min val="30"/>
        </c:scaling>
        <c:delete val="0"/>
        <c:axPos val="b"/>
        <c:title>
          <c:tx>
            <c:rich>
              <a:bodyPr/>
              <a:lstStyle/>
              <a:p>
                <a:pPr>
                  <a:defRPr/>
                </a:pPr>
                <a:r>
                  <a:rPr lang="en-US"/>
                  <a:t>V-angle (</a:t>
                </a:r>
                <a:r>
                  <a:rPr lang="el-GR"/>
                  <a:t>γ)</a:t>
                </a:r>
                <a:endParaRPr lang="en-US"/>
              </a:p>
            </c:rich>
          </c:tx>
          <c:overlay val="0"/>
        </c:title>
        <c:numFmt formatCode="#\°" sourceLinked="1"/>
        <c:majorTickMark val="none"/>
        <c:minorTickMark val="none"/>
        <c:tickLblPos val="nextTo"/>
        <c:crossAx val="241514744"/>
        <c:crosses val="autoZero"/>
        <c:crossBetween val="midCat"/>
      </c:valAx>
      <c:valAx>
        <c:axId val="241514744"/>
        <c:scaling>
          <c:orientation val="minMax"/>
        </c:scaling>
        <c:delete val="0"/>
        <c:axPos val="l"/>
        <c:majorGridlines/>
        <c:title>
          <c:tx>
            <c:rich>
              <a:bodyPr/>
              <a:lstStyle/>
              <a:p>
                <a:pPr>
                  <a:defRPr/>
                </a:pPr>
                <a:r>
                  <a:rPr lang="en-US"/>
                  <a:t>Nequiv(t)</a:t>
                </a:r>
              </a:p>
            </c:rich>
          </c:tx>
          <c:overlay val="0"/>
        </c:title>
        <c:numFmt formatCode="0.0" sourceLinked="1"/>
        <c:majorTickMark val="none"/>
        <c:minorTickMark val="none"/>
        <c:tickLblPos val="nextTo"/>
        <c:crossAx val="2415143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Label" fmlaTxbx="lp" lockText="1"/>
</file>

<file path=xl/ctrlProps/ctrlProp2.xml><?xml version="1.0" encoding="utf-8"?>
<formControlPr xmlns="http://schemas.microsoft.com/office/spreadsheetml/2009/9/main" objectType="Label" fmlaTxbx="Alpha" lockText="1"/>
</file>

<file path=xl/ctrlProps/ctrlProp3.xml><?xml version="1.0" encoding="utf-8"?>
<formControlPr xmlns="http://schemas.microsoft.com/office/spreadsheetml/2009/9/main" objectType="Label" fmlaTxbx="RDB" lockText="1"/>
</file>

<file path=xl/ctrlProps/ctrlProp4.xml><?xml version="1.0" encoding="utf-8"?>
<formControlPr xmlns="http://schemas.microsoft.com/office/spreadsheetml/2009/9/main" objectType="Label" fmlaTxbx="hP" lockText="1"/>
</file>

<file path=xl/ctrlProps/ctrlProp5.xml><?xml version="1.0" encoding="utf-8"?>
<formControlPr xmlns="http://schemas.microsoft.com/office/spreadsheetml/2009/9/main" objectType="CheckBox" fmlaLink="En_D2" lockText="1" noThreeD="1"/>
</file>

<file path=xl/ctrlProps/ctrlProp6.xml><?xml version="1.0" encoding="utf-8"?>
<formControlPr xmlns="http://schemas.microsoft.com/office/spreadsheetml/2009/9/main" objectType="CheckBox" checked="Checked" fmlaLink="$H$4" lockText="1" noThreeD="1"/>
</file>

<file path=xl/ctrlProps/ctrlProp7.xml><?xml version="1.0" encoding="utf-8"?>
<formControlPr xmlns="http://schemas.microsoft.com/office/spreadsheetml/2009/9/main" objectType="CheckBox" fmlaLink="$H$5" lockText="1" noThreeD="1"/>
</file>

<file path=xl/ctrlProps/ctrlProp8.xml><?xml version="1.0" encoding="utf-8"?>
<formControlPr xmlns="http://schemas.microsoft.com/office/spreadsheetml/2009/9/main" objectType="CheckBox" fmlaLink="$H$6" lockText="1" noThreeD="1"/>
</file>

<file path=xl/ctrlProps/ctrlProp9.xml><?xml version="1.0" encoding="utf-8"?>
<formControlPr xmlns="http://schemas.microsoft.com/office/spreadsheetml/2009/9/main" objectType="CheckBox" fmlaLink="$H$7" lockText="1" noThreeD="1"/>
</file>

<file path=xl/drawings/_rels/drawing1.xml.rels><?xml version="1.0" encoding="UTF-8" standalone="yes"?>
<Relationships xmlns="http://schemas.openxmlformats.org/package/2006/relationships"><Relationship Id="rId3" Type="http://purl.oclc.org/ooxml/officeDocument/relationships/image" Target="../media/image40.png"/><Relationship Id="rId2" Type="http://purl.oclc.org/ooxml/officeDocument/relationships/image" Target="../media/image39.png"/><Relationship Id="rId1" Type="http://purl.oclc.org/ooxml/officeDocument/relationships/image" Target="../media/image38.png"/></Relationships>
</file>

<file path=xl/drawings/_rels/drawing2.xml.rels><?xml version="1.0" encoding="UTF-8" standalone="yes"?>
<Relationships xmlns="http://schemas.openxmlformats.org/package/2006/relationships"><Relationship Id="rId1" Type="http://purl.oclc.org/ooxml/officeDocument/relationships/image" Target="../media/image41.emf"/></Relationships>
</file>

<file path=xl/drawings/_rels/drawing3.xml.rels><?xml version="1.0" encoding="UTF-8" standalone="yes"?>
<Relationships xmlns="http://schemas.openxmlformats.org/package/2006/relationships"><Relationship Id="rId1" Type="http://purl.oclc.org/ooxml/officeDocument/relationships/image" Target="../media/image42.png"/></Relationships>
</file>

<file path=xl/drawings/_rels/drawing6.xml.rels><?xml version="1.0" encoding="UTF-8" standalone="yes"?>
<Relationships xmlns="http://schemas.openxmlformats.org/package/2006/relationships"><Relationship Id="rId1" Type="http://purl.oclc.org/ooxml/officeDocument/relationships/chart" Target="../charts/chart1.xml"/></Relationships>
</file>

<file path=xl/drawings/_rels/drawing7.xml.rels><?xml version="1.0" encoding="UTF-8" standalone="yes"?>
<Relationships xmlns="http://schemas.openxmlformats.org/package/2006/relationships"><Relationship Id="rId8" Type="http://purl.oclc.org/ooxml/officeDocument/relationships/image" Target="../media/image52.png"/><Relationship Id="rId3" Type="http://purl.oclc.org/ooxml/officeDocument/relationships/image" Target="../media/image47.emf"/><Relationship Id="rId7" Type="http://purl.oclc.org/ooxml/officeDocument/relationships/image" Target="../media/image51.png"/><Relationship Id="rId2" Type="http://purl.oclc.org/ooxml/officeDocument/relationships/image" Target="../media/image46.emf"/><Relationship Id="rId1" Type="http://purl.oclc.org/ooxml/officeDocument/relationships/image" Target="../media/image45.emf"/><Relationship Id="rId6" Type="http://purl.oclc.org/ooxml/officeDocument/relationships/image" Target="../media/image50.png"/><Relationship Id="rId5" Type="http://purl.oclc.org/ooxml/officeDocument/relationships/image" Target="../media/image49.emf"/><Relationship Id="rId10" Type="http://purl.oclc.org/ooxml/officeDocument/relationships/image" Target="../media/image54.png"/><Relationship Id="rId4" Type="http://purl.oclc.org/ooxml/officeDocument/relationships/image" Target="../media/image48.emf"/><Relationship Id="rId9" Type="http://purl.oclc.org/ooxml/officeDocument/relationships/image" Target="../media/image53.png"/></Relationships>
</file>

<file path=xl/drawings/_rels/vmlDrawing1.vml.rels><?xml version="1.0" encoding="UTF-8" standalone="yes"?>
<Relationships xmlns="http://schemas.openxmlformats.org/package/2006/relationships"><Relationship Id="rId8" Type="http://purl.oclc.org/ooxml/officeDocument/relationships/image" Target="../media/image30.emf"/><Relationship Id="rId13" Type="http://purl.oclc.org/ooxml/officeDocument/relationships/image" Target="../media/image25.emf"/><Relationship Id="rId18" Type="http://purl.oclc.org/ooxml/officeDocument/relationships/image" Target="../media/image20.emf"/><Relationship Id="rId26" Type="http://purl.oclc.org/ooxml/officeDocument/relationships/image" Target="../media/image12.emf"/><Relationship Id="rId3" Type="http://purl.oclc.org/ooxml/officeDocument/relationships/image" Target="../media/image35.emf"/><Relationship Id="rId21" Type="http://purl.oclc.org/ooxml/officeDocument/relationships/image" Target="../media/image17.emf"/><Relationship Id="rId34" Type="http://purl.oclc.org/ooxml/officeDocument/relationships/image" Target="../media/image4.emf"/><Relationship Id="rId7" Type="http://purl.oclc.org/ooxml/officeDocument/relationships/image" Target="../media/image31.emf"/><Relationship Id="rId12" Type="http://purl.oclc.org/ooxml/officeDocument/relationships/image" Target="../media/image26.emf"/><Relationship Id="rId17" Type="http://purl.oclc.org/ooxml/officeDocument/relationships/image" Target="../media/image21.emf"/><Relationship Id="rId25" Type="http://purl.oclc.org/ooxml/officeDocument/relationships/image" Target="../media/image13.emf"/><Relationship Id="rId33" Type="http://purl.oclc.org/ooxml/officeDocument/relationships/image" Target="../media/image5.emf"/><Relationship Id="rId2" Type="http://purl.oclc.org/ooxml/officeDocument/relationships/image" Target="../media/image36.emf"/><Relationship Id="rId16" Type="http://purl.oclc.org/ooxml/officeDocument/relationships/image" Target="../media/image22.emf"/><Relationship Id="rId20" Type="http://purl.oclc.org/ooxml/officeDocument/relationships/image" Target="../media/image18.emf"/><Relationship Id="rId29" Type="http://purl.oclc.org/ooxml/officeDocument/relationships/image" Target="../media/image9.emf"/><Relationship Id="rId1" Type="http://purl.oclc.org/ooxml/officeDocument/relationships/image" Target="../media/image37.emf"/><Relationship Id="rId6" Type="http://purl.oclc.org/ooxml/officeDocument/relationships/image" Target="../media/image32.emf"/><Relationship Id="rId11" Type="http://purl.oclc.org/ooxml/officeDocument/relationships/image" Target="../media/image27.emf"/><Relationship Id="rId24" Type="http://purl.oclc.org/ooxml/officeDocument/relationships/image" Target="../media/image14.emf"/><Relationship Id="rId32" Type="http://purl.oclc.org/ooxml/officeDocument/relationships/image" Target="../media/image6.emf"/><Relationship Id="rId37" Type="http://purl.oclc.org/ooxml/officeDocument/relationships/image" Target="../media/image1.emf"/><Relationship Id="rId5" Type="http://purl.oclc.org/ooxml/officeDocument/relationships/image" Target="../media/image33.emf"/><Relationship Id="rId15" Type="http://purl.oclc.org/ooxml/officeDocument/relationships/image" Target="../media/image23.emf"/><Relationship Id="rId23" Type="http://purl.oclc.org/ooxml/officeDocument/relationships/image" Target="../media/image15.emf"/><Relationship Id="rId28" Type="http://purl.oclc.org/ooxml/officeDocument/relationships/image" Target="../media/image10.emf"/><Relationship Id="rId36" Type="http://purl.oclc.org/ooxml/officeDocument/relationships/image" Target="../media/image2.emf"/><Relationship Id="rId10" Type="http://purl.oclc.org/ooxml/officeDocument/relationships/image" Target="../media/image28.emf"/><Relationship Id="rId19" Type="http://purl.oclc.org/ooxml/officeDocument/relationships/image" Target="../media/image19.emf"/><Relationship Id="rId31" Type="http://purl.oclc.org/ooxml/officeDocument/relationships/image" Target="../media/image7.emf"/><Relationship Id="rId4" Type="http://purl.oclc.org/ooxml/officeDocument/relationships/image" Target="../media/image34.emf"/><Relationship Id="rId9" Type="http://purl.oclc.org/ooxml/officeDocument/relationships/image" Target="../media/image29.emf"/><Relationship Id="rId14" Type="http://purl.oclc.org/ooxml/officeDocument/relationships/image" Target="../media/image24.emf"/><Relationship Id="rId22" Type="http://purl.oclc.org/ooxml/officeDocument/relationships/image" Target="../media/image16.emf"/><Relationship Id="rId27" Type="http://purl.oclc.org/ooxml/officeDocument/relationships/image" Target="../media/image11.emf"/><Relationship Id="rId30" Type="http://purl.oclc.org/ooxml/officeDocument/relationships/image" Target="../media/image8.emf"/><Relationship Id="rId35" Type="http://purl.oclc.org/ooxml/officeDocument/relationships/image" Target="../media/image3.emf"/></Relationships>
</file>

<file path=xl/drawings/_rels/vmlDrawing2.vml.rels><?xml version="1.0" encoding="UTF-8" standalone="yes"?>
<Relationships xmlns="http://schemas.openxmlformats.org/package/2006/relationships"><Relationship Id="rId2" Type="http://purl.oclc.org/ooxml/officeDocument/relationships/image" Target="../media/image43.emf"/><Relationship Id="rId1" Type="http://purl.oclc.org/ooxml/officeDocument/relationships/image" Target="../media/image44.emf"/></Relationships>
</file>

<file path=xl/drawings/drawing1.xml><?xml version="1.0" encoding="utf-8"?>
<xdr:wsDr xmlns:xdr="http://purl.oclc.org/ooxml/drawingml/spreadsheetDrawing" xmlns:a="http://purl.oclc.org/ooxml/drawingml/main">
  <xdr:twoCellAnchor>
    <xdr:from>
      <xdr:col>0</xdr:col>
      <xdr:colOff>-694776683</xdr:colOff>
      <xdr:row>29</xdr:row>
      <xdr:rowOff>169546</xdr:rowOff>
    </xdr:from>
    <xdr:to>
      <xdr:col>0</xdr:col>
      <xdr:colOff>-691601686</xdr:colOff>
      <xdr:row>39</xdr:row>
      <xdr:rowOff>91918</xdr:rowOff>
    </xdr:to>
    <xdr:grpSp>
      <xdr:nvGrpSpPr>
        <xdr:cNvPr id="7" name="GroupAlpha!" hidden="1">
          <a:extLst>
            <a:ext uri="{FF2B5EF4-FFF2-40B4-BE49-F238E27FC236}">
              <a16:creationId xmlns:a16="http://schemas.microsoft.com/office/drawing/2014/main" xmlns:a="http://schemas.openxmlformats.org/drawingml/2006/main" xmlns:xdr="http://schemas.openxmlformats.org/drawingml/2006/spreadsheetDrawing" xmlns="" id="{00000000-0008-0000-0000-000007000000}"/>
            </a:ext>
          </a:extLst>
        </xdr:cNvPr>
        <xdr:cNvGrpSpPr>
          <a:grpSpLocks noChangeAspect="1"/>
        </xdr:cNvGrpSpPr>
      </xdr:nvGrpSpPr>
      <xdr:grpSpPr>
        <a:xfrm>
          <a:off x="14272756261" y="6465571"/>
          <a:ext cx="3174997" cy="3341847"/>
          <a:chOff x="15174430791" y="6725670"/>
          <a:chExt cx="2843015" cy="3593710"/>
        </a:xfrm>
        <a:solidFill>
          <a:schemeClr val="bg1"/>
        </a:solidFill>
      </xdr:grpSpPr>
      <xdr:sp macro="" textlink="">
        <xdr:nvSpPr>
          <xdr:cNvPr id="1188" name="ImageAlpha" hidden="1">
            <a:extLst>
              <a:ext uri="{63B3BB69-23CF-44E3-9099-C40C66FF867C}">
                <a14:compatExt xmlns:a14="http://schemas.microsoft.com/office/drawing/2010/main" spid="_x0000_s1188"/>
              </a:ext>
              <a:ext uri="{FF2B5EF4-FFF2-40B4-BE49-F238E27FC236}">
                <a16:creationId xmlns:a16="http://schemas.microsoft.com/office/drawing/2014/main" xmlns:a="http://schemas.openxmlformats.org/drawingml/2006/main" xmlns:xdr="http://schemas.openxmlformats.org/drawingml/2006/spreadsheetDrawing" xmlns="" id="{00000000-0008-0000-0000-0000A4040000}"/>
              </a:ext>
            </a:extLst>
          </xdr:cNvPr>
          <xdr:cNvSpPr/>
        </xdr:nvSpPr>
        <xdr:spPr bwMode="auto">
          <a:xfrm>
            <a:off x="15174430791" y="6725670"/>
            <a:ext cx="2843015" cy="359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89" name="TextBoxDt" hidden="1">
            <a:extLst>
              <a:ext uri="{63B3BB69-23CF-44E3-9099-C40C66FF867C}">
                <a14:compatExt xmlns:a14="http://schemas.microsoft.com/office/drawing/2010/main" spid="_x0000_s1189"/>
              </a:ext>
              <a:ext uri="{FF2B5EF4-FFF2-40B4-BE49-F238E27FC236}">
                <a16:creationId xmlns:a16="http://schemas.microsoft.com/office/drawing/2014/main" xmlns:a="http://schemas.openxmlformats.org/drawingml/2006/main" xmlns:xdr="http://schemas.openxmlformats.org/drawingml/2006/spreadsheetDrawing" xmlns="" id="{00000000-0008-0000-0000-0000A5040000}"/>
              </a:ext>
            </a:extLst>
          </xdr:cNvPr>
          <xdr:cNvSpPr/>
        </xdr:nvSpPr>
        <xdr:spPr bwMode="auto">
          <a:xfrm>
            <a:off x="15175203009" y="6749625"/>
            <a:ext cx="396240" cy="191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90" name="TextBoxAlpha" hidden="1">
            <a:extLst>
              <a:ext uri="{63B3BB69-23CF-44E3-9099-C40C66FF867C}">
                <a14:compatExt xmlns:a14="http://schemas.microsoft.com/office/drawing/2010/main" spid="_x0000_s1190"/>
              </a:ext>
              <a:ext uri="{FF2B5EF4-FFF2-40B4-BE49-F238E27FC236}">
                <a16:creationId xmlns:a16="http://schemas.microsoft.com/office/drawing/2014/main" xmlns:a="http://schemas.openxmlformats.org/drawingml/2006/main" xmlns:xdr="http://schemas.openxmlformats.org/drawingml/2006/spreadsheetDrawing" xmlns="" id="{00000000-0008-0000-0000-0000A6040000}"/>
              </a:ext>
            </a:extLst>
          </xdr:cNvPr>
          <xdr:cNvSpPr/>
        </xdr:nvSpPr>
        <xdr:spPr bwMode="auto">
          <a:xfrm>
            <a:off x="15175101556" y="7085038"/>
            <a:ext cx="396240" cy="191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91" name="TextBoxDp" hidden="1">
            <a:extLst>
              <a:ext uri="{63B3BB69-23CF-44E3-9099-C40C66FF867C}">
                <a14:compatExt xmlns:a14="http://schemas.microsoft.com/office/drawing/2010/main" spid="_x0000_s1191"/>
              </a:ext>
              <a:ext uri="{FF2B5EF4-FFF2-40B4-BE49-F238E27FC236}">
                <a16:creationId xmlns:a16="http://schemas.microsoft.com/office/drawing/2014/main" xmlns:a="http://schemas.openxmlformats.org/drawingml/2006/main" xmlns:xdr="http://schemas.openxmlformats.org/drawingml/2006/spreadsheetDrawing" xmlns="" id="{00000000-0008-0000-0000-0000A7040000}"/>
              </a:ext>
            </a:extLst>
          </xdr:cNvPr>
          <xdr:cNvSpPr/>
        </xdr:nvSpPr>
        <xdr:spPr bwMode="auto">
          <a:xfrm>
            <a:off x="15176180760" y="8314884"/>
            <a:ext cx="312420" cy="175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93" name="TextBoxLp" hidden="1">
            <a:extLst>
              <a:ext uri="{63B3BB69-23CF-44E3-9099-C40C66FF867C}">
                <a14:compatExt xmlns:a14="http://schemas.microsoft.com/office/drawing/2010/main" spid="_x0000_s1193"/>
              </a:ext>
              <a:ext uri="{FF2B5EF4-FFF2-40B4-BE49-F238E27FC236}">
                <a16:creationId xmlns:a16="http://schemas.microsoft.com/office/drawing/2014/main" xmlns:a="http://schemas.openxmlformats.org/drawingml/2006/main" xmlns:xdr="http://schemas.openxmlformats.org/drawingml/2006/spreadsheetDrawing" xmlns="" id="{00000000-0008-0000-0000-0000A9040000}"/>
              </a:ext>
            </a:extLst>
          </xdr:cNvPr>
          <xdr:cNvSpPr/>
        </xdr:nvSpPr>
        <xdr:spPr bwMode="auto">
          <a:xfrm>
            <a:off x="15175641333" y="9736397"/>
            <a:ext cx="342901" cy="183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94" name="TextBoxRDB" hidden="1">
            <a:extLst>
              <a:ext uri="{63B3BB69-23CF-44E3-9099-C40C66FF867C}">
                <a14:compatExt xmlns:a14="http://schemas.microsoft.com/office/drawing/2010/main" spid="_x0000_s1194"/>
              </a:ext>
              <a:ext uri="{FF2B5EF4-FFF2-40B4-BE49-F238E27FC236}">
                <a16:creationId xmlns:a16="http://schemas.microsoft.com/office/drawing/2014/main" xmlns:a="http://schemas.openxmlformats.org/drawingml/2006/main" xmlns:xdr="http://schemas.openxmlformats.org/drawingml/2006/spreadsheetDrawing" xmlns="" id="{00000000-0008-0000-0000-0000AA040000}"/>
              </a:ext>
            </a:extLst>
          </xdr:cNvPr>
          <xdr:cNvSpPr/>
        </xdr:nvSpPr>
        <xdr:spPr bwMode="auto">
          <a:xfrm>
            <a:off x="15175586398" y="10063825"/>
            <a:ext cx="327660" cy="175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92" name="TextBoxhp" hidden="1">
            <a:extLst>
              <a:ext uri="{63B3BB69-23CF-44E3-9099-C40C66FF867C}">
                <a14:compatExt xmlns:a14="http://schemas.microsoft.com/office/drawing/2010/main" spid="_x0000_s1192"/>
              </a:ext>
              <a:ext uri="{FF2B5EF4-FFF2-40B4-BE49-F238E27FC236}">
                <a16:creationId xmlns:a16="http://schemas.microsoft.com/office/drawing/2014/main" xmlns:a="http://schemas.openxmlformats.org/drawingml/2006/main" xmlns:xdr="http://schemas.openxmlformats.org/drawingml/2006/spreadsheetDrawing" xmlns="" id="{00000000-0008-0000-0000-0000A8040000}"/>
              </a:ext>
            </a:extLst>
          </xdr:cNvPr>
          <xdr:cNvSpPr/>
        </xdr:nvSpPr>
        <xdr:spPr bwMode="auto">
          <a:xfrm>
            <a:off x="15176905920" y="8202986"/>
            <a:ext cx="358141" cy="18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grpSp>
    <xdr:clientData/>
  </xdr:twoCellAnchor>
  <xdr:twoCellAnchor>
    <xdr:from>
      <xdr:col>1</xdr:col>
      <xdr:colOff>2809875</xdr:colOff>
      <xdr:row>37</xdr:row>
      <xdr:rowOff>19050</xdr:rowOff>
    </xdr:from>
    <xdr:to>
      <xdr:col>1</xdr:col>
      <xdr:colOff>3457575</xdr:colOff>
      <xdr:row>38</xdr:row>
      <xdr:rowOff>0</xdr:rowOff>
    </xdr:to>
    <xdr:sp macro="" textlink="">
      <xdr:nvSpPr>
        <xdr:cNvPr id="1077" name="CheckBox_Alpha">
          <a:extLst>
            <a:ext uri="{63B3BB69-23CF-44E3-9099-C40C66FF867C}">
              <a14:compatExt xmlns:a14="http://schemas.microsoft.com/office/drawing/2010/main" spid="_x0000_s1077"/>
            </a:ext>
            <a:ext uri="{FF2B5EF4-FFF2-40B4-BE49-F238E27FC236}">
              <a16:creationId xmlns:a16="http://schemas.microsoft.com/office/drawing/2014/main" xmlns:a="http://schemas.openxmlformats.org/drawingml/2006/main" xmlns:xdr="http://schemas.openxmlformats.org/drawingml/2006/spreadsheetDrawing" xmlns="" id="{00000000-0008-0000-0000-000035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3</xdr:col>
      <xdr:colOff>180975</xdr:colOff>
      <xdr:row>31</xdr:row>
      <xdr:rowOff>19050</xdr:rowOff>
    </xdr:from>
    <xdr:to>
      <xdr:col>3</xdr:col>
      <xdr:colOff>914400</xdr:colOff>
      <xdr:row>31</xdr:row>
      <xdr:rowOff>209550</xdr:rowOff>
    </xdr:to>
    <xdr:sp macro="" textlink="">
      <xdr:nvSpPr>
        <xdr:cNvPr id="1085" name="CheckBox_Hardened">
          <a:extLst>
            <a:ext uri="{63B3BB69-23CF-44E3-9099-C40C66FF867C}">
              <a14:compatExt xmlns:a14="http://schemas.microsoft.com/office/drawing/2010/main" spid="_x0000_s1085"/>
            </a:ext>
            <a:ext uri="{FF2B5EF4-FFF2-40B4-BE49-F238E27FC236}">
              <a16:creationId xmlns:a16="http://schemas.microsoft.com/office/drawing/2014/main" xmlns:a="http://schemas.openxmlformats.org/drawingml/2006/main" xmlns:xdr="http://schemas.openxmlformats.org/drawingml/2006/spreadsheetDrawing" xmlns="" id="{00000000-0008-0000-0000-00003D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0</xdr:col>
      <xdr:colOff>-697705778</xdr:colOff>
      <xdr:row>29</xdr:row>
      <xdr:rowOff>210408</xdr:rowOff>
    </xdr:from>
    <xdr:to>
      <xdr:col>0</xdr:col>
      <xdr:colOff>-696709582</xdr:colOff>
      <xdr:row>30</xdr:row>
      <xdr:rowOff>1338260</xdr:rowOff>
    </xdr:to>
    <xdr:grpSp>
      <xdr:nvGrpSpPr>
        <xdr:cNvPr id="4" name="Group 3">
          <a:extLst>
            <a:ext uri="{FF2B5EF4-FFF2-40B4-BE49-F238E27FC236}">
              <a16:creationId xmlns:a16="http://schemas.microsoft.com/office/drawing/2014/main" xmlns:a="http://schemas.openxmlformats.org/drawingml/2006/main" xmlns:xdr="http://schemas.openxmlformats.org/drawingml/2006/spreadsheetDrawing" xmlns="" id="{00000000-0008-0000-0000-000004000000}"/>
            </a:ext>
          </a:extLst>
        </xdr:cNvPr>
        <xdr:cNvGrpSpPr/>
      </xdr:nvGrpSpPr>
      <xdr:grpSpPr>
        <a:xfrm>
          <a:off x="14277864157" y="6506433"/>
          <a:ext cx="996196" cy="1365977"/>
          <a:chOff x="13234274751" y="6129244"/>
          <a:chExt cx="996196" cy="1376465"/>
        </a:xfrm>
      </xdr:grpSpPr>
      <xdr:pic>
        <xdr:nvPicPr>
          <xdr:cNvPr id="1053" name="Picture 12">
            <a:extLst>
              <a:ext uri="{FF2B5EF4-FFF2-40B4-BE49-F238E27FC236}">
                <a16:creationId xmlns:a16="http://schemas.microsoft.com/office/drawing/2014/main" xmlns:a="http://schemas.openxmlformats.org/drawingml/2006/main" xmlns:xdr="http://schemas.openxmlformats.org/drawingml/2006/spreadsheetDrawing" xmlns="" id="{00000000-0008-0000-0000-00001D04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3234274751" y="6129244"/>
            <a:ext cx="996196" cy="115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sp macro="" textlink="">
        <xdr:nvSpPr>
          <xdr:cNvPr id="1086" name="V">
            <a:extLst>
              <a:ext uri="{63B3BB69-23CF-44E3-9099-C40C66FF867C}">
                <a14:compatExt xmlns:a14="http://schemas.microsoft.com/office/drawing/2010/main" spid="_x0000_s1086"/>
              </a:ext>
              <a:ext uri="{FF2B5EF4-FFF2-40B4-BE49-F238E27FC236}">
                <a16:creationId xmlns:a16="http://schemas.microsoft.com/office/drawing/2014/main" xmlns:a="http://schemas.openxmlformats.org/drawingml/2006/main" xmlns:xdr="http://schemas.openxmlformats.org/drawingml/2006/spreadsheetDrawing" xmlns="" id="{00000000-0008-0000-0000-00003E040000}"/>
              </a:ext>
            </a:extLst>
          </xdr:cNvPr>
          <xdr:cNvSpPr/>
        </xdr:nvSpPr>
        <xdr:spPr bwMode="auto">
          <a:xfrm>
            <a:off x="13234621740" y="7246631"/>
            <a:ext cx="320040" cy="259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grpSp>
    <xdr:clientData/>
  </xdr:twoCellAnchor>
  <xdr:twoCellAnchor>
    <xdr:from>
      <xdr:col>0</xdr:col>
      <xdr:colOff>-696273250</xdr:colOff>
      <xdr:row>29</xdr:row>
      <xdr:rowOff>222831</xdr:rowOff>
    </xdr:from>
    <xdr:to>
      <xdr:col>0</xdr:col>
      <xdr:colOff>-695299469</xdr:colOff>
      <xdr:row>30</xdr:row>
      <xdr:rowOff>1313498</xdr:rowOff>
    </xdr:to>
    <xdr:grpSp>
      <xdr:nvGrpSpPr>
        <xdr:cNvPr id="5" name="Group 4">
          <a:extLst>
            <a:ext uri="{FF2B5EF4-FFF2-40B4-BE49-F238E27FC236}">
              <a16:creationId xmlns:a16="http://schemas.microsoft.com/office/drawing/2014/main" xmlns:a="http://schemas.openxmlformats.org/drawingml/2006/main" xmlns:xdr="http://schemas.openxmlformats.org/drawingml/2006/spreadsheetDrawing" xmlns="" id="{00000000-0008-0000-0000-000005000000}"/>
            </a:ext>
          </a:extLst>
        </xdr:cNvPr>
        <xdr:cNvGrpSpPr/>
      </xdr:nvGrpSpPr>
      <xdr:grpSpPr>
        <a:xfrm>
          <a:off x="14276454044" y="6518856"/>
          <a:ext cx="973781" cy="1328792"/>
          <a:chOff x="13232897023" y="6141667"/>
          <a:chExt cx="973781" cy="1333551"/>
        </a:xfrm>
      </xdr:grpSpPr>
      <xdr:pic>
        <xdr:nvPicPr>
          <xdr:cNvPr id="1054" name="Picture 11">
            <a:extLst>
              <a:ext uri="{FF2B5EF4-FFF2-40B4-BE49-F238E27FC236}">
                <a16:creationId xmlns:a16="http://schemas.microsoft.com/office/drawing/2014/main" xmlns:a="http://schemas.openxmlformats.org/drawingml/2006/main" xmlns:xdr="http://schemas.openxmlformats.org/drawingml/2006/spreadsheetDrawing" xmlns="" id="{00000000-0008-0000-0000-00001E040000}"/>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13232897023" y="6141667"/>
            <a:ext cx="973781" cy="108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sp macro="" textlink="">
        <xdr:nvSpPr>
          <xdr:cNvPr id="1087" name="U">
            <a:extLst>
              <a:ext uri="{63B3BB69-23CF-44E3-9099-C40C66FF867C}">
                <a14:compatExt xmlns:a14="http://schemas.microsoft.com/office/drawing/2010/main" spid="_x0000_s1087"/>
              </a:ext>
              <a:ext uri="{FF2B5EF4-FFF2-40B4-BE49-F238E27FC236}">
                <a16:creationId xmlns:a16="http://schemas.microsoft.com/office/drawing/2014/main" xmlns:a="http://schemas.openxmlformats.org/drawingml/2006/main" xmlns:xdr="http://schemas.openxmlformats.org/drawingml/2006/spreadsheetDrawing" xmlns="" id="{00000000-0008-0000-0000-00003F040000}"/>
              </a:ext>
            </a:extLst>
          </xdr:cNvPr>
          <xdr:cNvSpPr/>
        </xdr:nvSpPr>
        <xdr:spPr bwMode="auto">
          <a:xfrm>
            <a:off x="13233181560" y="7216138"/>
            <a:ext cx="32766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grpSp>
    <xdr:clientData/>
  </xdr:twoCellAnchor>
  <xdr:twoCellAnchor>
    <xdr:from>
      <xdr:col>6</xdr:col>
      <xdr:colOff>0</xdr:colOff>
      <xdr:row>9</xdr:row>
      <xdr:rowOff>19050</xdr:rowOff>
    </xdr:from>
    <xdr:to>
      <xdr:col>6</xdr:col>
      <xdr:colOff>0</xdr:colOff>
      <xdr:row>9</xdr:row>
      <xdr:rowOff>209550</xdr:rowOff>
    </xdr:to>
    <xdr:sp macro="" textlink="">
      <xdr:nvSpPr>
        <xdr:cNvPr id="1103" name="TextBox_PN">
          <a:extLst>
            <a:ext uri="{63B3BB69-23CF-44E3-9099-C40C66FF867C}">
              <a14:compatExt xmlns:a14="http://schemas.microsoft.com/office/drawing/2010/main" spid="_x0000_s1103"/>
            </a:ext>
            <a:ext uri="{FF2B5EF4-FFF2-40B4-BE49-F238E27FC236}">
              <a16:creationId xmlns:a16="http://schemas.microsoft.com/office/drawing/2014/main" xmlns:a="http://schemas.openxmlformats.org/drawingml/2006/main" xmlns:xdr="http://schemas.openxmlformats.org/drawingml/2006/spreadsheetDrawing" xmlns="" id="{00000000-0008-0000-0000-00004F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6</xdr:col>
      <xdr:colOff>0</xdr:colOff>
      <xdr:row>7</xdr:row>
      <xdr:rowOff>9525</xdr:rowOff>
    </xdr:from>
    <xdr:to>
      <xdr:col>9</xdr:col>
      <xdr:colOff>247650</xdr:colOff>
      <xdr:row>7</xdr:row>
      <xdr:rowOff>238125</xdr:rowOff>
    </xdr:to>
    <xdr:sp macro="" textlink="">
      <xdr:nvSpPr>
        <xdr:cNvPr id="1107" name="TextBox_Stp">
          <a:extLst>
            <a:ext uri="{63B3BB69-23CF-44E3-9099-C40C66FF867C}">
              <a14:compatExt xmlns:a14="http://schemas.microsoft.com/office/drawing/2010/main" spid="_x0000_s1107"/>
            </a:ext>
            <a:ext uri="{FF2B5EF4-FFF2-40B4-BE49-F238E27FC236}">
              <a16:creationId xmlns:a16="http://schemas.microsoft.com/office/drawing/2014/main" xmlns:a="http://schemas.openxmlformats.org/drawingml/2006/main" xmlns:xdr="http://schemas.openxmlformats.org/drawingml/2006/spreadsheetDrawing" xmlns="" id="{00000000-0008-0000-0000-000053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1</xdr:col>
      <xdr:colOff>2809875</xdr:colOff>
      <xdr:row>14</xdr:row>
      <xdr:rowOff>19050</xdr:rowOff>
    </xdr:from>
    <xdr:to>
      <xdr:col>1</xdr:col>
      <xdr:colOff>3457575</xdr:colOff>
      <xdr:row>15</xdr:row>
      <xdr:rowOff>0</xdr:rowOff>
    </xdr:to>
    <xdr:sp macro="" textlink="">
      <xdr:nvSpPr>
        <xdr:cNvPr id="1109" name="CheckBox_Atotal" descr="hgh kj">
          <a:extLst>
            <a:ext uri="{63B3BB69-23CF-44E3-9099-C40C66FF867C}">
              <a14:compatExt xmlns:a14="http://schemas.microsoft.com/office/drawing/2010/main" spid="_x0000_s1109"/>
            </a:ext>
            <a:ext uri="{FF2B5EF4-FFF2-40B4-BE49-F238E27FC236}">
              <a16:creationId xmlns:a16="http://schemas.microsoft.com/office/drawing/2014/main" xmlns:a="http://schemas.openxmlformats.org/drawingml/2006/main" xmlns:xdr="http://schemas.openxmlformats.org/drawingml/2006/spreadsheetDrawing" xmlns="" id="{00000000-0008-0000-0000-000055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6</xdr:col>
      <xdr:colOff>0</xdr:colOff>
      <xdr:row>60</xdr:row>
      <xdr:rowOff>190500</xdr:rowOff>
    </xdr:from>
    <xdr:to>
      <xdr:col>6</xdr:col>
      <xdr:colOff>0</xdr:colOff>
      <xdr:row>61</xdr:row>
      <xdr:rowOff>171450</xdr:rowOff>
    </xdr:to>
    <xdr:sp macro="" textlink="">
      <xdr:nvSpPr>
        <xdr:cNvPr id="1126" name="TextBox_nc">
          <a:extLst>
            <a:ext uri="{63B3BB69-23CF-44E3-9099-C40C66FF867C}">
              <a14:compatExt xmlns:a14="http://schemas.microsoft.com/office/drawing/2010/main" spid="_x0000_s1126"/>
            </a:ext>
            <a:ext uri="{FF2B5EF4-FFF2-40B4-BE49-F238E27FC236}">
              <a16:creationId xmlns:a16="http://schemas.microsoft.com/office/drawing/2014/main" xmlns:a="http://schemas.openxmlformats.org/drawingml/2006/main" xmlns:xdr="http://schemas.openxmlformats.org/drawingml/2006/spreadsheetDrawing" xmlns="" id="{00000000-0008-0000-0000-000066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1</xdr:col>
      <xdr:colOff>2952750</xdr:colOff>
      <xdr:row>32</xdr:row>
      <xdr:rowOff>9525</xdr:rowOff>
    </xdr:from>
    <xdr:to>
      <xdr:col>1</xdr:col>
      <xdr:colOff>3143250</xdr:colOff>
      <xdr:row>33</xdr:row>
      <xdr:rowOff>9525</xdr:rowOff>
    </xdr:to>
    <xdr:sp macro="" textlink="">
      <xdr:nvSpPr>
        <xdr:cNvPr id="1127" name="Beta_Calc">
          <a:extLst>
            <a:ext uri="{63B3BB69-23CF-44E3-9099-C40C66FF867C}">
              <a14:compatExt xmlns:a14="http://schemas.microsoft.com/office/drawing/2010/main" spid="_x0000_s1127"/>
            </a:ext>
            <a:ext uri="{FF2B5EF4-FFF2-40B4-BE49-F238E27FC236}">
              <a16:creationId xmlns:a16="http://schemas.microsoft.com/office/drawing/2014/main" xmlns:a="http://schemas.openxmlformats.org/drawingml/2006/main" xmlns:xdr="http://schemas.openxmlformats.org/drawingml/2006/spreadsheetDrawing" xmlns="" id="{00000000-0008-0000-0000-0000670400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fPrintsWithSheet="0"/>
  </xdr:twoCellAnchor>
  <xdr:twoCellAnchor>
    <xdr:from>
      <xdr:col>0</xdr:col>
      <xdr:colOff>-1847347559</xdr:colOff>
      <xdr:row>30</xdr:row>
      <xdr:rowOff>421640</xdr:rowOff>
    </xdr:from>
    <xdr:to>
      <xdr:col>0</xdr:col>
      <xdr:colOff>-1844584197</xdr:colOff>
      <xdr:row>40</xdr:row>
      <xdr:rowOff>48102</xdr:rowOff>
    </xdr:to>
    <xdr:grpSp>
      <xdr:nvGrpSpPr>
        <xdr:cNvPr id="3" name="Group 2">
          <a:extLst>
            <a:ext uri="{FF2B5EF4-FFF2-40B4-BE49-F238E27FC236}">
              <a16:creationId xmlns:a16="http://schemas.microsoft.com/office/drawing/2014/main" xmlns:a="http://schemas.openxmlformats.org/drawingml/2006/main" xmlns:xdr="http://schemas.openxmlformats.org/drawingml/2006/spreadsheetDrawing" xmlns="" id="{00000000-0008-0000-0000-000003000000}"/>
            </a:ext>
          </a:extLst>
        </xdr:cNvPr>
        <xdr:cNvGrpSpPr/>
      </xdr:nvGrpSpPr>
      <xdr:grpSpPr>
        <a:xfrm>
          <a:off x="15425738772" y="6955790"/>
          <a:ext cx="2763362" cy="3045937"/>
          <a:chOff x="14352836190" y="6782781"/>
          <a:chExt cx="2555431" cy="2977934"/>
        </a:xfrm>
      </xdr:grpSpPr>
      <xdr:grpSp>
        <xdr:nvGrpSpPr>
          <xdr:cNvPr id="2" name="Group 1">
            <a:extLst>
              <a:ext uri="{FF2B5EF4-FFF2-40B4-BE49-F238E27FC236}">
                <a16:creationId xmlns:a16="http://schemas.microsoft.com/office/drawing/2014/main" xmlns:a="http://schemas.openxmlformats.org/drawingml/2006/main" xmlns:xdr="http://schemas.openxmlformats.org/drawingml/2006/spreadsheetDrawing" xmlns="" id="{00000000-0008-0000-0000-000002000000}"/>
              </a:ext>
            </a:extLst>
          </xdr:cNvPr>
          <xdr:cNvGrpSpPr/>
        </xdr:nvGrpSpPr>
        <xdr:grpSpPr>
          <a:xfrm>
            <a:off x="14352836190" y="6782781"/>
            <a:ext cx="2285278" cy="2977934"/>
            <a:chOff x="13229716770" y="6317972"/>
            <a:chExt cx="2285278" cy="2795059"/>
          </a:xfrm>
        </xdr:grpSpPr>
        <xdr:pic>
          <xdr:nvPicPr>
            <xdr:cNvPr id="16" name="Picture 15">
              <a:extLst>
                <a:ext uri="{FF2B5EF4-FFF2-40B4-BE49-F238E27FC236}">
                  <a16:creationId xmlns:a16="http://schemas.microsoft.com/office/drawing/2014/main" xmlns:a="http://schemas.openxmlformats.org/drawingml/2006/main" xmlns:xdr="http://schemas.openxmlformats.org/drawingml/2006/spreadsheetDrawing" xmlns="" id="{00000000-0008-0000-0000-000010000000}"/>
                </a:ext>
              </a:extLst>
            </xdr:cNvPr>
            <xdr:cNvPicPr>
              <a:picLocks noChangeAspect="1" noChangeArrowheads="1"/>
            </xdr:cNvPicPr>
          </xdr:nvPicPr>
          <xdr:blipFill>
            <a:blip xmlns:r="http://purl.oclc.org/ooxml/officeDocument/relationships" r:embed="rId3" cstate="print">
              <a:extLst>
                <a:ext uri="{28A0092B-C50C-407E-A947-70E740481C1C}">
                  <a14:useLocalDpi xmlns:a14="http://schemas.microsoft.com/office/drawing/2010/main" val="0"/>
                </a:ext>
              </a:extLst>
            </a:blip>
            <a:srcRect/>
            <a:stretch>
              <a:fillRect/>
            </a:stretch>
          </xdr:blipFill>
          <xdr:spPr bwMode="auto">
            <a:xfrm>
              <a:off x="13229716770" y="6317972"/>
              <a:ext cx="2285278" cy="2795059"/>
            </a:xfrm>
            <a:prstGeom prst="rect">
              <a:avLst/>
            </a:prstGeom>
            <a:solidFill>
              <a:srgbClr val="FFFFFF"/>
            </a:solidFill>
            <a:ln>
              <a:noFill/>
            </a:ln>
          </xdr:spPr>
        </xdr:pic>
        <xdr:sp macro="" textlink="">
          <xdr:nvSpPr>
            <xdr:cNvPr id="1067" name="Label 43">
              <a:extLst>
                <a:ext uri="{63B3BB69-23CF-44E3-9099-C40C66FF867C}">
                  <a14:compatExt xmlns:a14="http://schemas.microsoft.com/office/drawing/2010/main" spid="_x0000_s1067"/>
                </a:ext>
                <a:ext uri="{FF2B5EF4-FFF2-40B4-BE49-F238E27FC236}">
                  <a16:creationId xmlns:a16="http://schemas.microsoft.com/office/drawing/2014/main" xmlns:a="http://schemas.openxmlformats.org/drawingml/2006/main" xmlns:xdr="http://schemas.openxmlformats.org/drawingml/2006/spreadsheetDrawing" xmlns="" id="{00000000-0008-0000-0000-00002B040000}"/>
                </a:ext>
              </a:extLst>
            </xdr:cNvPr>
            <xdr:cNvSpPr/>
          </xdr:nvSpPr>
          <xdr:spPr bwMode="auto">
            <a:xfrm>
              <a:off x="13230826980" y="8577399"/>
              <a:ext cx="304800" cy="202854"/>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300</a:t>
              </a:r>
            </a:p>
          </xdr:txBody>
        </xdr:sp>
        <xdr:sp macro="" textlink="">
          <xdr:nvSpPr>
            <xdr:cNvPr id="1068" name="Label 44" descr="α1">
              <a:extLst>
                <a:ext uri="{63B3BB69-23CF-44E3-9099-C40C66FF867C}">
                  <a14:compatExt xmlns:a14="http://schemas.microsoft.com/office/drawing/2010/main" spid="_x0000_s1068"/>
                </a:ext>
                <a:ext uri="{FF2B5EF4-FFF2-40B4-BE49-F238E27FC236}">
                  <a16:creationId xmlns:a16="http://schemas.microsoft.com/office/drawing/2014/main" xmlns:a="http://schemas.openxmlformats.org/drawingml/2006/main" xmlns:xdr="http://schemas.openxmlformats.org/drawingml/2006/spreadsheetDrawing" xmlns="" id="{00000000-0008-0000-0000-00002C040000}"/>
                </a:ext>
              </a:extLst>
            </xdr:cNvPr>
            <xdr:cNvSpPr/>
          </xdr:nvSpPr>
          <xdr:spPr bwMode="auto">
            <a:xfrm>
              <a:off x="13230118320" y="6353261"/>
              <a:ext cx="365760" cy="253567"/>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159.00</a:t>
              </a:r>
            </a:p>
          </xdr:txBody>
        </xdr:sp>
        <xdr:sp macro="" textlink="">
          <xdr:nvSpPr>
            <xdr:cNvPr id="1069" name="Label 45">
              <a:extLst>
                <a:ext uri="{63B3BB69-23CF-44E3-9099-C40C66FF867C}">
                  <a14:compatExt xmlns:a14="http://schemas.microsoft.com/office/drawing/2010/main" spid="_x0000_s1069"/>
                </a:ext>
                <a:ext uri="{FF2B5EF4-FFF2-40B4-BE49-F238E27FC236}">
                  <a16:creationId xmlns:a16="http://schemas.microsoft.com/office/drawing/2014/main" xmlns:a="http://schemas.openxmlformats.org/drawingml/2006/main" xmlns:xdr="http://schemas.openxmlformats.org/drawingml/2006/spreadsheetDrawing" xmlns="" id="{00000000-0008-0000-0000-00002D040000}"/>
                </a:ext>
              </a:extLst>
            </xdr:cNvPr>
            <xdr:cNvSpPr/>
          </xdr:nvSpPr>
          <xdr:spPr bwMode="auto">
            <a:xfrm>
              <a:off x="13230804120" y="8852701"/>
              <a:ext cx="327660" cy="231832"/>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700</a:t>
              </a:r>
            </a:p>
          </xdr:txBody>
        </xdr:sp>
      </xdr:grpSp>
      <xdr:sp macro="" textlink="">
        <xdr:nvSpPr>
          <xdr:cNvPr id="1131" name="Label 107">
            <a:extLst>
              <a:ext uri="{63B3BB69-23CF-44E3-9099-C40C66FF867C}">
                <a14:compatExt xmlns:a14="http://schemas.microsoft.com/office/drawing/2010/main" spid="_x0000_s1131"/>
              </a:ext>
              <a:ext uri="{FF2B5EF4-FFF2-40B4-BE49-F238E27FC236}">
                <a16:creationId xmlns:a16="http://schemas.microsoft.com/office/drawing/2014/main" xmlns:a="http://schemas.openxmlformats.org/drawingml/2006/main" xmlns:xdr="http://schemas.openxmlformats.org/drawingml/2006/spreadsheetDrawing" xmlns="" id="{00000000-0008-0000-0000-00006B040000}"/>
              </a:ext>
            </a:extLst>
          </xdr:cNvPr>
          <xdr:cNvSpPr/>
        </xdr:nvSpPr>
        <xdr:spPr bwMode="auto">
          <a:xfrm>
            <a:off x="14355063959" y="7886700"/>
            <a:ext cx="327662" cy="24384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EEECE1"/>
                </a:solidFill>
                <a:latin typeface="Tahoma"/>
                <a:ea typeface="Tahoma"/>
                <a:cs typeface="Tahoma"/>
              </a:rPr>
              <a:t>800</a:t>
            </a:r>
          </a:p>
        </xdr:txBody>
      </xdr:sp>
    </xdr:grpSp>
    <xdr:clientData/>
  </xdr:twoCellAnchor>
  <xdr:twoCellAnchor>
    <xdr:from>
      <xdr:col>5</xdr:col>
      <xdr:colOff>38100</xdr:colOff>
      <xdr:row>13</xdr:row>
      <xdr:rowOff>19050</xdr:rowOff>
    </xdr:from>
    <xdr:to>
      <xdr:col>5</xdr:col>
      <xdr:colOff>2162175</xdr:colOff>
      <xdr:row>15</xdr:row>
      <xdr:rowOff>0</xdr:rowOff>
    </xdr:to>
    <xdr:sp macro="" textlink="">
      <xdr:nvSpPr>
        <xdr:cNvPr id="1140" name="Car_Area_Calc">
          <a:extLst>
            <a:ext uri="{63B3BB69-23CF-44E3-9099-C40C66FF867C}">
              <a14:compatExt xmlns:a14="http://schemas.microsoft.com/office/drawing/2010/main" spid="_x0000_s1140"/>
            </a:ext>
            <a:ext uri="{FF2B5EF4-FFF2-40B4-BE49-F238E27FC236}">
              <a16:creationId xmlns:a16="http://schemas.microsoft.com/office/drawing/2014/main" xmlns:a="http://schemas.openxmlformats.org/drawingml/2006/main" xmlns:xdr="http://schemas.openxmlformats.org/drawingml/2006/spreadsheetDrawing" xmlns="" id="{00000000-0008-0000-0000-0000740400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fPrintsWithSheet="0"/>
  </xdr:twoCellAnchor>
  <xdr:twoCellAnchor editAs="oneCell">
    <xdr:from>
      <xdr:col>1</xdr:col>
      <xdr:colOff>9525</xdr:colOff>
      <xdr:row>0</xdr:row>
      <xdr:rowOff>114300</xdr:rowOff>
    </xdr:from>
    <xdr:to>
      <xdr:col>1</xdr:col>
      <xdr:colOff>1933575</xdr:colOff>
      <xdr:row>0</xdr:row>
      <xdr:rowOff>361950</xdr:rowOff>
    </xdr:to>
    <xdr:sp macro="" textlink="">
      <xdr:nvSpPr>
        <xdr:cNvPr id="1149" name="OptionButtonEN81_1">
          <a:extLst>
            <a:ext uri="{63B3BB69-23CF-44E3-9099-C40C66FF867C}">
              <a14:compatExt xmlns:a14="http://schemas.microsoft.com/office/drawing/2010/main" spid="_x0000_s1149"/>
            </a:ext>
            <a:ext uri="{FF2B5EF4-FFF2-40B4-BE49-F238E27FC236}">
              <a16:creationId xmlns:a16="http://schemas.microsoft.com/office/drawing/2014/main" xmlns:a="http://schemas.openxmlformats.org/drawingml/2006/main" xmlns:xdr="http://schemas.openxmlformats.org/drawingml/2006/spreadsheetDrawing" xmlns="" id="{00000000-0008-0000-0000-00007D0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
              <a:headEnd/>
              <a:tailEnd/>
            </a14:hiddenLine>
          </a:ext>
          <a:ext uri="{53640926-AAD7-44D8-BBD7-CCE9431645EC}">
            <a14:shadowObscured xmlns:a14="http://schemas.microsoft.com/office/drawing/2010/main" val="1"/>
          </a:ext>
        </a:extLst>
      </xdr:spPr>
    </xdr:sp>
    <xdr:clientData/>
  </xdr:twoCellAnchor>
  <xdr:twoCellAnchor editAs="oneCell">
    <xdr:from>
      <xdr:col>1</xdr:col>
      <xdr:colOff>2428875</xdr:colOff>
      <xdr:row>0</xdr:row>
      <xdr:rowOff>114300</xdr:rowOff>
    </xdr:from>
    <xdr:to>
      <xdr:col>3</xdr:col>
      <xdr:colOff>295275</xdr:colOff>
      <xdr:row>0</xdr:row>
      <xdr:rowOff>361950</xdr:rowOff>
    </xdr:to>
    <xdr:sp macro="" textlink="">
      <xdr:nvSpPr>
        <xdr:cNvPr id="1150" name="OptionButtonEN81_1A3">
          <a:extLst>
            <a:ext uri="{63B3BB69-23CF-44E3-9099-C40C66FF867C}">
              <a14:compatExt xmlns:a14="http://schemas.microsoft.com/office/drawing/2010/main" spid="_x0000_s1150"/>
            </a:ext>
            <a:ext uri="{FF2B5EF4-FFF2-40B4-BE49-F238E27FC236}">
              <a16:creationId xmlns:a16="http://schemas.microsoft.com/office/drawing/2014/main" xmlns:a="http://schemas.openxmlformats.org/drawingml/2006/main" xmlns:xdr="http://schemas.openxmlformats.org/drawingml/2006/spreadsheetDrawing" xmlns="" id="{00000000-0008-0000-0000-00007E0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
              <a:headEnd/>
              <a:tailEnd/>
            </a14:hiddenLine>
          </a:ext>
          <a:ext uri="{53640926-AAD7-44D8-BBD7-CCE9431645EC}">
            <a14:shadowObscured xmlns:a14="http://schemas.microsoft.com/office/drawing/2010/main" val="1"/>
          </a:ext>
        </a:extLst>
      </xdr:spPr>
    </xdr:sp>
    <xdr:clientData/>
  </xdr:twoCellAnchor>
  <xdr:twoCellAnchor editAs="oneCell">
    <xdr:from>
      <xdr:col>3</xdr:col>
      <xdr:colOff>704850</xdr:colOff>
      <xdr:row>0</xdr:row>
      <xdr:rowOff>114300</xdr:rowOff>
    </xdr:from>
    <xdr:to>
      <xdr:col>4</xdr:col>
      <xdr:colOff>1285875</xdr:colOff>
      <xdr:row>0</xdr:row>
      <xdr:rowOff>361950</xdr:rowOff>
    </xdr:to>
    <xdr:sp macro="" textlink="">
      <xdr:nvSpPr>
        <xdr:cNvPr id="1151" name="OptionButtonEN81_20">
          <a:extLst>
            <a:ext uri="{63B3BB69-23CF-44E3-9099-C40C66FF867C}">
              <a14:compatExt xmlns:a14="http://schemas.microsoft.com/office/drawing/2010/main" spid="_x0000_s1151"/>
            </a:ext>
            <a:ext uri="{FF2B5EF4-FFF2-40B4-BE49-F238E27FC236}">
              <a16:creationId xmlns:a16="http://schemas.microsoft.com/office/drawing/2014/main" xmlns:a="http://schemas.openxmlformats.org/drawingml/2006/main" xmlns:xdr="http://schemas.openxmlformats.org/drawingml/2006/spreadsheetDrawing" xmlns="" id="{00000000-0008-0000-0000-00007F0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
              <a:headEnd/>
              <a:tailEnd/>
            </a14:hiddenLine>
          </a:ext>
          <a:ext uri="{53640926-AAD7-44D8-BBD7-CCE9431645EC}">
            <a14:shadowObscured xmlns:a14="http://schemas.microsoft.com/office/drawing/2010/main" val="1"/>
          </a:ext>
        </a:extLst>
      </xdr:spPr>
    </xdr:sp>
    <xdr:clientData/>
  </xdr:twoCellAnchor>
  <xdr:twoCellAnchor editAs="oneCell">
    <xdr:from>
      <xdr:col>5</xdr:col>
      <xdr:colOff>9525</xdr:colOff>
      <xdr:row>41</xdr:row>
      <xdr:rowOff>19050</xdr:rowOff>
    </xdr:from>
    <xdr:to>
      <xdr:col>5</xdr:col>
      <xdr:colOff>3095625</xdr:colOff>
      <xdr:row>55</xdr:row>
      <xdr:rowOff>123825</xdr:rowOff>
    </xdr:to>
    <xdr:sp macro="" textlink="">
      <xdr:nvSpPr>
        <xdr:cNvPr id="1164" name="ImageCar_MC">
          <a:extLst>
            <a:ext uri="{63B3BB69-23CF-44E3-9099-C40C66FF867C}">
              <a14:compatExt xmlns:a14="http://schemas.microsoft.com/office/drawing/2010/main" spid="_x0000_s1164"/>
            </a:ext>
            <a:ext uri="{FF2B5EF4-FFF2-40B4-BE49-F238E27FC236}">
              <a16:creationId xmlns:a16="http://schemas.microsoft.com/office/drawing/2014/main" xmlns:a="http://schemas.openxmlformats.org/drawingml/2006/main" xmlns:xdr="http://schemas.openxmlformats.org/drawingml/2006/spreadsheetDrawing" xmlns="" id="{00000000-0008-0000-0000-00008C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1284</xdr:col>
      <xdr:colOff>693420</xdr:colOff>
      <xdr:row>35</xdr:row>
      <xdr:rowOff>152400</xdr:rowOff>
    </xdr:from>
    <xdr:to>
      <xdr:col>1288</xdr:col>
      <xdr:colOff>170181</xdr:colOff>
      <xdr:row>52</xdr:row>
      <xdr:rowOff>152400</xdr:rowOff>
    </xdr:to>
    <xdr:sp macro="" textlink="">
      <xdr:nvSpPr>
        <xdr:cNvPr id="1160" name="AutoShape 136">
          <a:extLst>
            <a:ext uri="{FF2B5EF4-FFF2-40B4-BE49-F238E27FC236}">
              <a16:creationId xmlns:a16="http://schemas.microsoft.com/office/drawing/2014/main" xmlns:a="http://schemas.openxmlformats.org/drawingml/2006/main" xmlns:xdr="http://schemas.openxmlformats.org/drawingml/2006/spreadsheetDrawing" xmlns="" id="{00000000-0008-0000-0000-000088040000}"/>
            </a:ext>
          </a:extLst>
        </xdr:cNvPr>
        <xdr:cNvSpPr>
          <a:spLocks noChangeAspect="1" noChangeArrowheads="1"/>
        </xdr:cNvSpPr>
      </xdr:nvSpPr>
      <xdr:spPr bwMode="auto">
        <a:xfrm>
          <a:off x="11963107899" y="9182100"/>
          <a:ext cx="2646681" cy="40233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58</xdr:row>
      <xdr:rowOff>209550</xdr:rowOff>
    </xdr:from>
    <xdr:to>
      <xdr:col>6</xdr:col>
      <xdr:colOff>0</xdr:colOff>
      <xdr:row>59</xdr:row>
      <xdr:rowOff>171450</xdr:rowOff>
    </xdr:to>
    <xdr:sp macro="" textlink="">
      <xdr:nvSpPr>
        <xdr:cNvPr id="1171" name="TextBox_r">
          <a:extLst>
            <a:ext uri="{63B3BB69-23CF-44E3-9099-C40C66FF867C}">
              <a14:compatExt xmlns:a14="http://schemas.microsoft.com/office/drawing/2010/main" spid="_x0000_s1171"/>
            </a:ext>
            <a:ext uri="{FF2B5EF4-FFF2-40B4-BE49-F238E27FC236}">
              <a16:creationId xmlns:a16="http://schemas.microsoft.com/office/drawing/2014/main" xmlns:a="http://schemas.openxmlformats.org/drawingml/2006/main" xmlns:xdr="http://schemas.openxmlformats.org/drawingml/2006/spreadsheetDrawing" xmlns="" id="{00000000-0008-0000-0000-000093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xdr:col>
      <xdr:colOff>3295650</xdr:colOff>
      <xdr:row>81</xdr:row>
      <xdr:rowOff>9525</xdr:rowOff>
    </xdr:from>
    <xdr:to>
      <xdr:col>1</xdr:col>
      <xdr:colOff>3457575</xdr:colOff>
      <xdr:row>81</xdr:row>
      <xdr:rowOff>209550</xdr:rowOff>
    </xdr:to>
    <xdr:sp macro="" textlink="">
      <xdr:nvSpPr>
        <xdr:cNvPr id="1177" name="CheckBoxD3">
          <a:extLst>
            <a:ext uri="{63B3BB69-23CF-44E3-9099-C40C66FF867C}">
              <a14:compatExt xmlns:a14="http://schemas.microsoft.com/office/drawing/2010/main" spid="_x0000_s1177"/>
            </a:ext>
            <a:ext uri="{FF2B5EF4-FFF2-40B4-BE49-F238E27FC236}">
              <a16:creationId xmlns:a16="http://schemas.microsoft.com/office/drawing/2014/main" xmlns:a="http://schemas.openxmlformats.org/drawingml/2006/main" xmlns:xdr="http://schemas.openxmlformats.org/drawingml/2006/spreadsheetDrawing" xmlns="" id="{00000000-0008-0000-0000-000099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xdr:col>
      <xdr:colOff>3295650</xdr:colOff>
      <xdr:row>82</xdr:row>
      <xdr:rowOff>0</xdr:rowOff>
    </xdr:from>
    <xdr:to>
      <xdr:col>1</xdr:col>
      <xdr:colOff>3457575</xdr:colOff>
      <xdr:row>82</xdr:row>
      <xdr:rowOff>200025</xdr:rowOff>
    </xdr:to>
    <xdr:sp macro="" textlink="">
      <xdr:nvSpPr>
        <xdr:cNvPr id="1178" name="CheckBoxD4">
          <a:extLst>
            <a:ext uri="{63B3BB69-23CF-44E3-9099-C40C66FF867C}">
              <a14:compatExt xmlns:a14="http://schemas.microsoft.com/office/drawing/2010/main" spid="_x0000_s1178"/>
            </a:ext>
            <a:ext uri="{FF2B5EF4-FFF2-40B4-BE49-F238E27FC236}">
              <a16:creationId xmlns:a16="http://schemas.microsoft.com/office/drawing/2014/main" xmlns:a="http://schemas.openxmlformats.org/drawingml/2006/main" xmlns:xdr="http://schemas.openxmlformats.org/drawingml/2006/spreadsheetDrawing" xmlns="" id="{00000000-0008-0000-0000-00009A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6</xdr:col>
      <xdr:colOff>0</xdr:colOff>
      <xdr:row>61</xdr:row>
      <xdr:rowOff>209550</xdr:rowOff>
    </xdr:from>
    <xdr:to>
      <xdr:col>6</xdr:col>
      <xdr:colOff>0</xdr:colOff>
      <xdr:row>62</xdr:row>
      <xdr:rowOff>209550</xdr:rowOff>
    </xdr:to>
    <xdr:sp macro="" textlink="">
      <xdr:nvSpPr>
        <xdr:cNvPr id="1184" name="TextBox_mcr">
          <a:extLst>
            <a:ext uri="{63B3BB69-23CF-44E3-9099-C40C66FF867C}">
              <a14:compatExt xmlns:a14="http://schemas.microsoft.com/office/drawing/2010/main" spid="_x0000_s1184"/>
            </a:ext>
            <a:ext uri="{FF2B5EF4-FFF2-40B4-BE49-F238E27FC236}">
              <a16:creationId xmlns:a16="http://schemas.microsoft.com/office/drawing/2014/main" xmlns:a="http://schemas.openxmlformats.org/drawingml/2006/main" xmlns:xdr="http://schemas.openxmlformats.org/drawingml/2006/spreadsheetDrawing" xmlns="" id="{00000000-0008-0000-0000-0000A0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1</xdr:col>
      <xdr:colOff>2762250</xdr:colOff>
      <xdr:row>63</xdr:row>
      <xdr:rowOff>9525</xdr:rowOff>
    </xdr:from>
    <xdr:to>
      <xdr:col>1</xdr:col>
      <xdr:colOff>3524250</xdr:colOff>
      <xdr:row>64</xdr:row>
      <xdr:rowOff>0</xdr:rowOff>
    </xdr:to>
    <xdr:sp macro="" textlink="">
      <xdr:nvSpPr>
        <xdr:cNvPr id="1185" name="ComboBoxCP" descr="درصد جبران مورد نظر را انتخاب کنید:">
          <a:extLst>
            <a:ext uri="{63B3BB69-23CF-44E3-9099-C40C66FF867C}">
              <a14:compatExt xmlns:a14="http://schemas.microsoft.com/office/drawing/2010/main" spid="_x0000_s1185"/>
            </a:ext>
            <a:ext uri="{FF2B5EF4-FFF2-40B4-BE49-F238E27FC236}">
              <a16:creationId xmlns:a16="http://schemas.microsoft.com/office/drawing/2014/main" xmlns:a="http://schemas.openxmlformats.org/drawingml/2006/main" xmlns:xdr="http://schemas.openxmlformats.org/drawingml/2006/spreadsheetDrawing" xmlns="" id="{00000000-0008-0000-0000-0000A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fPrintsWithSheet="0"/>
  </xdr:twoCellAnchor>
  <xdr:twoCellAnchor editAs="oneCell">
    <xdr:from>
      <xdr:col>1</xdr:col>
      <xdr:colOff>3295650</xdr:colOff>
      <xdr:row>79</xdr:row>
      <xdr:rowOff>28575</xdr:rowOff>
    </xdr:from>
    <xdr:to>
      <xdr:col>1</xdr:col>
      <xdr:colOff>3457575</xdr:colOff>
      <xdr:row>79</xdr:row>
      <xdr:rowOff>219075</xdr:rowOff>
    </xdr:to>
    <xdr:sp macro="" textlink="">
      <xdr:nvSpPr>
        <xdr:cNvPr id="1175" name="CheckBoxD1">
          <a:extLst>
            <a:ext uri="{63B3BB69-23CF-44E3-9099-C40C66FF867C}">
              <a14:compatExt xmlns:a14="http://schemas.microsoft.com/office/drawing/2010/main" spid="_x0000_s1175"/>
            </a:ext>
            <a:ext uri="{FF2B5EF4-FFF2-40B4-BE49-F238E27FC236}">
              <a16:creationId xmlns:a16="http://schemas.microsoft.com/office/drawing/2014/main" xmlns:a="http://schemas.openxmlformats.org/drawingml/2006/main" xmlns:xdr="http://schemas.openxmlformats.org/drawingml/2006/spreadsheetDrawing" xmlns="" id="{00000000-0008-0000-0000-000097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xdr:col>
      <xdr:colOff>3295650</xdr:colOff>
      <xdr:row>80</xdr:row>
      <xdr:rowOff>28575</xdr:rowOff>
    </xdr:from>
    <xdr:to>
      <xdr:col>1</xdr:col>
      <xdr:colOff>3457575</xdr:colOff>
      <xdr:row>80</xdr:row>
      <xdr:rowOff>209550</xdr:rowOff>
    </xdr:to>
    <xdr:sp macro="" textlink="">
      <xdr:nvSpPr>
        <xdr:cNvPr id="1176" name="CheckBoxD2">
          <a:extLst>
            <a:ext uri="{63B3BB69-23CF-44E3-9099-C40C66FF867C}">
              <a14:compatExt xmlns:a14="http://schemas.microsoft.com/office/drawing/2010/main" spid="_x0000_s1176"/>
            </a:ext>
            <a:ext uri="{FF2B5EF4-FFF2-40B4-BE49-F238E27FC236}">
              <a16:creationId xmlns:a16="http://schemas.microsoft.com/office/drawing/2014/main" xmlns:a="http://schemas.openxmlformats.org/drawingml/2006/main" xmlns:xdr="http://schemas.openxmlformats.org/drawingml/2006/spreadsheetDrawing" xmlns="" id="{00000000-0008-0000-0000-000098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xdr:from>
      <xdr:col>0</xdr:col>
      <xdr:colOff>-694808467</xdr:colOff>
      <xdr:row>29</xdr:row>
      <xdr:rowOff>177164</xdr:rowOff>
    </xdr:from>
    <xdr:to>
      <xdr:col>0</xdr:col>
      <xdr:colOff>-691441725</xdr:colOff>
      <xdr:row>39</xdr:row>
      <xdr:rowOff>99536</xdr:rowOff>
    </xdr:to>
    <xdr:grpSp>
      <xdr:nvGrpSpPr>
        <xdr:cNvPr id="8" name="GroupAlpha2!" hidden="1">
          <a:extLst>
            <a:ext uri="{FF2B5EF4-FFF2-40B4-BE49-F238E27FC236}">
              <a16:creationId xmlns:a16="http://schemas.microsoft.com/office/drawing/2014/main" xmlns:a="http://schemas.openxmlformats.org/drawingml/2006/main" xmlns:xdr="http://schemas.openxmlformats.org/drawingml/2006/spreadsheetDrawing" xmlns="" id="{00000000-0008-0000-0000-000008000000}"/>
            </a:ext>
          </a:extLst>
        </xdr:cNvPr>
        <xdr:cNvGrpSpPr/>
      </xdr:nvGrpSpPr>
      <xdr:grpSpPr>
        <a:xfrm>
          <a:off x="14272596300" y="6473189"/>
          <a:ext cx="3366742" cy="3341847"/>
          <a:chOff x="14227794149" y="6856788"/>
          <a:chExt cx="2364391" cy="6700154330"/>
        </a:xfrm>
      </xdr:grpSpPr>
      <xdr:sp macro="" textlink="">
        <xdr:nvSpPr>
          <xdr:cNvPr id="1197" name="ImageAlpha2" hidden="1">
            <a:extLst>
              <a:ext uri="{63B3BB69-23CF-44E3-9099-C40C66FF867C}">
                <a14:compatExt xmlns:a14="http://schemas.microsoft.com/office/drawing/2010/main" spid="_x0000_s1197"/>
              </a:ext>
              <a:ext uri="{FF2B5EF4-FFF2-40B4-BE49-F238E27FC236}">
                <a16:creationId xmlns:a16="http://schemas.microsoft.com/office/drawing/2014/main" xmlns:a="http://schemas.openxmlformats.org/drawingml/2006/main" xmlns:xdr="http://schemas.openxmlformats.org/drawingml/2006/spreadsheetDrawing" xmlns="" id="{00000000-0008-0000-0000-0000AD040000}"/>
              </a:ext>
            </a:extLst>
          </xdr:cNvPr>
          <xdr:cNvSpPr/>
        </xdr:nvSpPr>
        <xdr:spPr bwMode="auto">
          <a:xfrm>
            <a:off x="14227794149" y="6856788"/>
            <a:ext cx="2239774" cy="6700154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98" name="TextBox1" hidden="1">
            <a:extLst>
              <a:ext uri="{63B3BB69-23CF-44E3-9099-C40C66FF867C}">
                <a14:compatExt xmlns:a14="http://schemas.microsoft.com/office/drawing/2010/main" spid="_x0000_s1198"/>
              </a:ext>
              <a:ext uri="{FF2B5EF4-FFF2-40B4-BE49-F238E27FC236}">
                <a16:creationId xmlns:a16="http://schemas.microsoft.com/office/drawing/2014/main" xmlns:a="http://schemas.openxmlformats.org/drawingml/2006/main" xmlns:xdr="http://schemas.openxmlformats.org/drawingml/2006/spreadsheetDrawing" xmlns="" id="{00000000-0008-0000-0000-0000AE040000}"/>
              </a:ext>
            </a:extLst>
          </xdr:cNvPr>
          <xdr:cNvSpPr/>
        </xdr:nvSpPr>
        <xdr:spPr bwMode="auto">
          <a:xfrm>
            <a:off x="14228251412" y="51524524"/>
            <a:ext cx="298395" cy="372230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199" name="TextBox2" hidden="1">
            <a:extLst>
              <a:ext uri="{63B3BB69-23CF-44E3-9099-C40C66FF867C}">
                <a14:compatExt xmlns:a14="http://schemas.microsoft.com/office/drawing/2010/main" spid="_x0000_s1199"/>
              </a:ext>
              <a:ext uri="{FF2B5EF4-FFF2-40B4-BE49-F238E27FC236}">
                <a16:creationId xmlns:a16="http://schemas.microsoft.com/office/drawing/2014/main" xmlns:a="http://schemas.openxmlformats.org/drawingml/2006/main" xmlns:xdr="http://schemas.openxmlformats.org/drawingml/2006/spreadsheetDrawing" xmlns="" id="{00000000-0008-0000-0000-0000AF040000}"/>
              </a:ext>
            </a:extLst>
          </xdr:cNvPr>
          <xdr:cNvSpPr/>
        </xdr:nvSpPr>
        <xdr:spPr bwMode="auto">
          <a:xfrm>
            <a:off x="14228204164" y="1168217914"/>
            <a:ext cx="221841" cy="342453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200" name="TextBox3" hidden="1">
            <a:extLst>
              <a:ext uri="{63B3BB69-23CF-44E3-9099-C40C66FF867C}">
                <a14:compatExt xmlns:a14="http://schemas.microsoft.com/office/drawing/2010/main" spid="_x0000_s1200"/>
              </a:ext>
              <a:ext uri="{FF2B5EF4-FFF2-40B4-BE49-F238E27FC236}">
                <a16:creationId xmlns:a16="http://schemas.microsoft.com/office/drawing/2014/main" xmlns:a="http://schemas.openxmlformats.org/drawingml/2006/main" xmlns:xdr="http://schemas.openxmlformats.org/drawingml/2006/spreadsheetDrawing" xmlns="" id="{00000000-0008-0000-0000-0000B0040000}"/>
              </a:ext>
            </a:extLst>
          </xdr:cNvPr>
          <xdr:cNvSpPr/>
        </xdr:nvSpPr>
        <xdr:spPr bwMode="auto">
          <a:xfrm>
            <a:off x="14229363483" y="3118705695"/>
            <a:ext cx="290010" cy="342453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201" name="TextBox4" hidden="1">
            <a:extLst>
              <a:ext uri="{63B3BB69-23CF-44E3-9099-C40C66FF867C}">
                <a14:compatExt xmlns:a14="http://schemas.microsoft.com/office/drawing/2010/main" spid="_x0000_s1201"/>
              </a:ext>
              <a:ext uri="{FF2B5EF4-FFF2-40B4-BE49-F238E27FC236}">
                <a16:creationId xmlns:a16="http://schemas.microsoft.com/office/drawing/2014/main" xmlns:a="http://schemas.openxmlformats.org/drawingml/2006/main" xmlns:xdr="http://schemas.openxmlformats.org/drawingml/2006/spreadsheetDrawing" xmlns="" id="{00000000-0008-0000-0000-0000B1040000}"/>
              </a:ext>
            </a:extLst>
          </xdr:cNvPr>
          <xdr:cNvSpPr/>
        </xdr:nvSpPr>
        <xdr:spPr bwMode="auto">
          <a:xfrm>
            <a:off x="14228734997" y="5560540573"/>
            <a:ext cx="312905" cy="372230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202" name="TextBox5" hidden="1">
            <a:extLst>
              <a:ext uri="{63B3BB69-23CF-44E3-9099-C40C66FF867C}">
                <a14:compatExt xmlns:a14="http://schemas.microsoft.com/office/drawing/2010/main" spid="_x0000_s1202"/>
              </a:ext>
              <a:ext uri="{FF2B5EF4-FFF2-40B4-BE49-F238E27FC236}">
                <a16:creationId xmlns:a16="http://schemas.microsoft.com/office/drawing/2014/main" xmlns:a="http://schemas.openxmlformats.org/drawingml/2006/main" xmlns:xdr="http://schemas.openxmlformats.org/drawingml/2006/spreadsheetDrawing" xmlns="" id="{00000000-0008-0000-0000-0000B2040000}"/>
              </a:ext>
            </a:extLst>
          </xdr:cNvPr>
          <xdr:cNvSpPr/>
        </xdr:nvSpPr>
        <xdr:spPr bwMode="auto">
          <a:xfrm>
            <a:off x="14228737315" y="6126330555"/>
            <a:ext cx="320538" cy="35733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203" name="TextBox6" hidden="1">
            <a:extLst>
              <a:ext uri="{63B3BB69-23CF-44E3-9099-C40C66FF867C}">
                <a14:compatExt xmlns:a14="http://schemas.microsoft.com/office/drawing/2010/main" spid="_x0000_s1203"/>
              </a:ext>
              <a:ext uri="{FF2B5EF4-FFF2-40B4-BE49-F238E27FC236}">
                <a16:creationId xmlns:a16="http://schemas.microsoft.com/office/drawing/2014/main" xmlns:a="http://schemas.openxmlformats.org/drawingml/2006/main" xmlns:xdr="http://schemas.openxmlformats.org/drawingml/2006/spreadsheetDrawing" xmlns="" id="{00000000-0008-0000-0000-0000B3040000}"/>
              </a:ext>
            </a:extLst>
          </xdr:cNvPr>
          <xdr:cNvSpPr/>
        </xdr:nvSpPr>
        <xdr:spPr bwMode="auto">
          <a:xfrm>
            <a:off x="14229892408" y="2776254392"/>
            <a:ext cx="266132" cy="402007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sp macro="" textlink="">
        <xdr:nvSpPr>
          <xdr:cNvPr id="1207" name="TextBox7" hidden="1">
            <a:extLst>
              <a:ext uri="{63B3BB69-23CF-44E3-9099-C40C66FF867C}">
                <a14:compatExt xmlns:a14="http://schemas.microsoft.com/office/drawing/2010/main" spid="_x0000_s1207"/>
              </a:ext>
              <a:ext uri="{FF2B5EF4-FFF2-40B4-BE49-F238E27FC236}">
                <a16:creationId xmlns:a16="http://schemas.microsoft.com/office/drawing/2014/main" xmlns:a="http://schemas.openxmlformats.org/drawingml/2006/main" xmlns:xdr="http://schemas.openxmlformats.org/drawingml/2006/spreadsheetDrawing" xmlns="" id="{00000000-0008-0000-0000-0000B7040000}"/>
              </a:ext>
            </a:extLst>
          </xdr:cNvPr>
          <xdr:cNvSpPr/>
        </xdr:nvSpPr>
        <xdr:spPr bwMode="auto">
          <a:xfrm>
            <a:off x="14228161655" y="781094866"/>
            <a:ext cx="242914" cy="3424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grpSp>
    <xdr:clientData/>
  </xdr:twoCellAnchor>
  <xdr:twoCellAnchor editAs="oneCell">
    <xdr:from>
      <xdr:col>9</xdr:col>
      <xdr:colOff>514350</xdr:colOff>
      <xdr:row>31</xdr:row>
      <xdr:rowOff>57150</xdr:rowOff>
    </xdr:from>
    <xdr:to>
      <xdr:col>10</xdr:col>
      <xdr:colOff>95250</xdr:colOff>
      <xdr:row>32</xdr:row>
      <xdr:rowOff>123825</xdr:rowOff>
    </xdr:to>
    <xdr:sp macro="" textlink="">
      <xdr:nvSpPr>
        <xdr:cNvPr id="1211" name="TextBox_Beta">
          <a:extLst>
            <a:ext uri="{63B3BB69-23CF-44E3-9099-C40C66FF867C}">
              <a14:compatExt xmlns:a14="http://schemas.microsoft.com/office/drawing/2010/main" spid="_x0000_s1211"/>
            </a:ext>
            <a:ext uri="{FF2B5EF4-FFF2-40B4-BE49-F238E27FC236}">
              <a16:creationId xmlns:a16="http://schemas.microsoft.com/office/drawing/2014/main" xmlns:a="http://schemas.openxmlformats.org/drawingml/2006/main" xmlns:xdr="http://schemas.openxmlformats.org/drawingml/2006/spreadsheetDrawing" xmlns="" id="{00000000-0008-0000-0000-0000BB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9</xdr:col>
      <xdr:colOff>485775</xdr:colOff>
      <xdr:row>28</xdr:row>
      <xdr:rowOff>180975</xdr:rowOff>
    </xdr:from>
    <xdr:to>
      <xdr:col>9</xdr:col>
      <xdr:colOff>733425</xdr:colOff>
      <xdr:row>30</xdr:row>
      <xdr:rowOff>9525</xdr:rowOff>
    </xdr:to>
    <xdr:sp macro="" textlink="">
      <xdr:nvSpPr>
        <xdr:cNvPr id="1213" name="TextBox_Gamma">
          <a:extLst>
            <a:ext uri="{63B3BB69-23CF-44E3-9099-C40C66FF867C}">
              <a14:compatExt xmlns:a14="http://schemas.microsoft.com/office/drawing/2010/main" spid="_x0000_s1213"/>
            </a:ext>
            <a:ext uri="{FF2B5EF4-FFF2-40B4-BE49-F238E27FC236}">
              <a16:creationId xmlns:a16="http://schemas.microsoft.com/office/drawing/2014/main" xmlns:a="http://schemas.openxmlformats.org/drawingml/2006/main" xmlns:xdr="http://schemas.openxmlformats.org/drawingml/2006/spreadsheetDrawing" xmlns="" id="{00000000-0008-0000-0000-0000BD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wsDr>
</file>

<file path=xl/drawings/drawing2.xml><?xml version="1.0" encoding="utf-8"?>
<xdr:wsDr xmlns:xdr="http://purl.oclc.org/ooxml/drawingml/spreadsheetDrawing" xmlns:a="http://purl.oclc.org/ooxml/drawingml/main">
  <xdr:twoCellAnchor editAs="oneCell">
    <xdr:from>
      <xdr:col>3</xdr:col>
      <xdr:colOff>755192</xdr:colOff>
      <xdr:row>20</xdr:row>
      <xdr:rowOff>155876</xdr:rowOff>
    </xdr:from>
    <xdr:to>
      <xdr:col>3</xdr:col>
      <xdr:colOff>3757176</xdr:colOff>
      <xdr:row>34</xdr:row>
      <xdr:rowOff>109570</xdr:rowOff>
    </xdr:to>
    <xdr:pic>
      <xdr:nvPicPr>
        <xdr:cNvPr id="2055" name="Picture 1">
          <a:extLst>
            <a:ext uri="{FF2B5EF4-FFF2-40B4-BE49-F238E27FC236}">
              <a16:creationId xmlns:a16="http://schemas.microsoft.com/office/drawing/2014/main" xmlns:a="http://schemas.openxmlformats.org/drawingml/2006/main" xmlns:xdr="http://schemas.openxmlformats.org/drawingml/2006/spreadsheetDrawing" xmlns="" id="{00000000-0008-0000-0200-00000708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3707541556" y="4843537"/>
          <a:ext cx="3001984" cy="31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oneCellAnchor>
    <xdr:from>
      <xdr:col>3</xdr:col>
      <xdr:colOff>657225</xdr:colOff>
      <xdr:row>0</xdr:row>
      <xdr:rowOff>0</xdr:rowOff>
    </xdr:from>
    <xdr:ext cx="65" cy="172227"/>
    <xdr:sp macro="" textlink="">
      <xdr:nvSpPr>
        <xdr:cNvPr id="3" name="TextBox 2">
          <a:extLst>
            <a:ext uri="{FF2B5EF4-FFF2-40B4-BE49-F238E27FC236}">
              <a16:creationId xmlns:a16="http://schemas.microsoft.com/office/drawing/2014/main" xmlns:a="http://schemas.openxmlformats.org/drawingml/2006/main" xmlns:xdr="http://schemas.openxmlformats.org/drawingml/2006/spreadsheetDrawing" xmlns="" id="{00000000-0008-0000-0200-000003000000}"/>
            </a:ext>
          </a:extLst>
        </xdr:cNvPr>
        <xdr:cNvSpPr txBox="1"/>
      </xdr:nvSpPr>
      <xdr:spPr>
        <a:xfrm>
          <a:off x="214789551" y="690129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endParaRPr lang="en-US"/>
        </a:p>
      </xdr:txBody>
    </xdr:sp>
    <xdr:clientData/>
  </xdr:oneCellAnchor>
  <xdr:oneCellAnchor>
    <xdr:from>
      <xdr:col>2</xdr:col>
      <xdr:colOff>342900</xdr:colOff>
      <xdr:row>48</xdr:row>
      <xdr:rowOff>209550</xdr:rowOff>
    </xdr:from>
    <xdr:ext cx="914400" cy="2576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xmlns:a="http://schemas.openxmlformats.org/drawingml/2006/main" xmlns:xdr="http://schemas.openxmlformats.org/drawingml/2006/spreadsheetDrawing" xmlns="" id="{00000000-0008-0000-0200-000002000000}"/>
                </a:ext>
              </a:extLst>
            </xdr:cNvPr>
            <xdr:cNvSpPr txBox="1"/>
          </xdr:nvSpPr>
          <xdr:spPr>
            <a:xfrm>
              <a:off x="14357878320" y="11220450"/>
              <a:ext cx="914400" cy="25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1" anchor="t">
              <a:spAutoFit/>
            </a:bodyPr>
            <a:lstStyle/>
            <a:p>
              <a:pPr algn="r" rtl="1"/>
              <a14:m>
                <m:oMathPara xmlns:m="http://purl.oclc.org/ooxml/officeDocument/math">
                  <m:oMathParaPr>
                    <m:jc m:val="centerGroup"/>
                  </m:oMathParaPr>
                  <m:oMath xmlns:m="http://purl.oclc.org/ooxml/officeDocument/math">
                    <m:r>
                      <a:rPr lang="fa-IR" sz="1100" i="1">
                        <a:latin typeface="Cambria Math"/>
                        <a:ea typeface="Cambria Math"/>
                      </a:rPr>
                      <m:t>±</m:t>
                    </m:r>
                  </m:oMath>
                </m:oMathPara>
              </a14:m>
              <a:endParaRPr lang="en-US" sz="1100" i="1">
                <a:latin typeface="Cambria Math"/>
                <a:ea typeface="Cambria Math"/>
              </a:endParaRPr>
            </a:p>
          </xdr:txBody>
        </xdr:sp>
      </mc:Choice>
      <mc:Fallback xmlns:xdr="http://schemas.openxmlformats.org/drawingml/2006/spreadsheetDrawing" xmlns:a="http://schemas.openxmlformats.org/drawingml/2006/main" xmlns="">
        <xdr:sp macro="" textlink="">
          <xdr:nvSpPr>
            <xdr:cNvPr id="2" name="TextBox 1"/>
            <xdr:cNvSpPr txBox="1"/>
          </xdr:nvSpPr>
          <xdr:spPr>
            <a:xfrm>
              <a:off x="14357878320" y="11220450"/>
              <a:ext cx="914400" cy="25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1" anchor="t">
              <a:spAutoFit/>
            </a:bodyPr>
            <a:lstStyle/>
            <a:p>
              <a:pPr algn="r" rtl="1"/>
              <a:r>
                <a:rPr lang="fa-IR" sz="1100" i="0">
                  <a:latin typeface="Cambria Math"/>
                  <a:ea typeface="Cambria Math"/>
                </a:rPr>
                <a:t>±</a:t>
              </a:r>
              <a:endParaRPr lang="en-US" sz="1100" i="1">
                <a:latin typeface="Cambria Math"/>
                <a:ea typeface="Cambria Math"/>
              </a:endParaRPr>
            </a:p>
          </xdr:txBody>
        </xdr:sp>
      </mc:Fallback>
    </mc:AlternateContent>
    <xdr:clientData/>
  </xdr:oneCellAnchor>
</xdr:wsDr>
</file>

<file path=xl/drawings/drawing3.xml><?xml version="1.0" encoding="utf-8"?>
<xdr:wsDr xmlns:xdr="http://purl.oclc.org/ooxml/drawingml/spreadsheetDrawing" xmlns:a="http://purl.oclc.org/ooxml/drawingml/main">
  <xdr:oneCellAnchor>
    <xdr:from>
      <xdr:col>3</xdr:col>
      <xdr:colOff>657225</xdr:colOff>
      <xdr:row>9</xdr:row>
      <xdr:rowOff>0</xdr:rowOff>
    </xdr:from>
    <xdr:ext cx="65" cy="172227"/>
    <xdr:sp macro="" textlink="">
      <xdr:nvSpPr>
        <xdr:cNvPr id="2" name="TextBox 1">
          <a:extLst>
            <a:ext uri="{FF2B5EF4-FFF2-40B4-BE49-F238E27FC236}">
              <a16:creationId xmlns:a16="http://schemas.microsoft.com/office/drawing/2014/main" xmlns:a="http://schemas.openxmlformats.org/drawingml/2006/main" xmlns:xdr="http://schemas.openxmlformats.org/drawingml/2006/spreadsheetDrawing" xmlns="" id="{00000000-0008-0000-0400-000002000000}"/>
            </a:ext>
          </a:extLst>
        </xdr:cNvPr>
        <xdr:cNvSpPr txBox="1"/>
      </xdr:nvSpPr>
      <xdr:spPr>
        <a:xfrm>
          <a:off x="214988710" y="176645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endParaRPr lang="en-US"/>
        </a:p>
      </xdr:txBody>
    </xdr:sp>
    <xdr:clientData/>
  </xdr:oneCellAnchor>
  <xdr:twoCellAnchor editAs="oneCell">
    <xdr:from>
      <xdr:col>3</xdr:col>
      <xdr:colOff>1769341</xdr:colOff>
      <xdr:row>35</xdr:row>
      <xdr:rowOff>67039</xdr:rowOff>
    </xdr:from>
    <xdr:to>
      <xdr:col>4</xdr:col>
      <xdr:colOff>3605</xdr:colOff>
      <xdr:row>38</xdr:row>
      <xdr:rowOff>213360</xdr:rowOff>
    </xdr:to>
    <xdr:pic>
      <xdr:nvPicPr>
        <xdr:cNvPr id="3" name="Picture 2">
          <a:extLst>
            <a:ext uri="{FF2B5EF4-FFF2-40B4-BE49-F238E27FC236}">
              <a16:creationId xmlns:a16="http://schemas.microsoft.com/office/drawing/2014/main" xmlns:a="http://schemas.openxmlformats.org/drawingml/2006/main" xmlns:xdr="http://schemas.openxmlformats.org/drawingml/2006/spreadsheetDrawing" xmlns="" id="{00000000-0008-0000-0400-000003000000}"/>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bwMode="auto">
        <a:xfrm>
          <a:off x="14355626815" y="7382239"/>
          <a:ext cx="2592904" cy="870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purl.oclc.org/ooxml/drawingml/spreadsheetDrawing" xmlns:a="http://purl.oclc.org/ooxml/drawingml/main">
  <xdr:oneCellAnchor>
    <xdr:from>
      <xdr:col>9</xdr:col>
      <xdr:colOff>657225</xdr:colOff>
      <xdr:row>26</xdr:row>
      <xdr:rowOff>0</xdr:rowOff>
    </xdr:from>
    <xdr:ext cx="65" cy="172227"/>
    <xdr:sp macro="" textlink="">
      <xdr:nvSpPr>
        <xdr:cNvPr id="2" name="TextBox 1">
          <a:extLst>
            <a:ext uri="{FF2B5EF4-FFF2-40B4-BE49-F238E27FC236}">
              <a16:creationId xmlns:a16="http://schemas.microsoft.com/office/drawing/2014/main" xmlns:a="http://schemas.openxmlformats.org/drawingml/2006/main" xmlns:xdr="http://schemas.openxmlformats.org/drawingml/2006/spreadsheetDrawing" xmlns="" id="{00000000-0008-0000-0600-000002000000}"/>
            </a:ext>
          </a:extLst>
        </xdr:cNvPr>
        <xdr:cNvSpPr txBox="1"/>
      </xdr:nvSpPr>
      <xdr:spPr>
        <a:xfrm>
          <a:off x="12977399050" y="449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oneCellAnchor>
    <xdr:from>
      <xdr:col>9</xdr:col>
      <xdr:colOff>657225</xdr:colOff>
      <xdr:row>47</xdr:row>
      <xdr:rowOff>0</xdr:rowOff>
    </xdr:from>
    <xdr:ext cx="65" cy="172227"/>
    <xdr:sp macro="" textlink="">
      <xdr:nvSpPr>
        <xdr:cNvPr id="3" name="TextBox 2">
          <a:extLst>
            <a:ext uri="{FF2B5EF4-FFF2-40B4-BE49-F238E27FC236}">
              <a16:creationId xmlns:a16="http://schemas.microsoft.com/office/drawing/2014/main" xmlns:a="http://schemas.openxmlformats.org/drawingml/2006/main" xmlns:xdr="http://schemas.openxmlformats.org/drawingml/2006/spreadsheetDrawing" xmlns="" id="{00000000-0008-0000-0600-000003000000}"/>
            </a:ext>
          </a:extLst>
        </xdr:cNvPr>
        <xdr:cNvSpPr txBox="1"/>
      </xdr:nvSpPr>
      <xdr:spPr>
        <a:xfrm>
          <a:off x="12977399050" y="96240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twoCellAnchor editAs="oneCell">
    <xdr:from>
      <xdr:col>49</xdr:col>
      <xdr:colOff>0</xdr:colOff>
      <xdr:row>65</xdr:row>
      <xdr:rowOff>190500</xdr:rowOff>
    </xdr:from>
    <xdr:to>
      <xdr:col>49</xdr:col>
      <xdr:colOff>171450</xdr:colOff>
      <xdr:row>66</xdr:row>
      <xdr:rowOff>171450</xdr:rowOff>
    </xdr:to>
    <xdr:sp macro="" textlink="">
      <xdr:nvSpPr>
        <xdr:cNvPr id="4098" name="Check Box 2">
          <a:extLst>
            <a:ext uri="{63B3BB69-23CF-44E3-9099-C40C66FF867C}">
              <a14:compatExt xmlns:a14="http://schemas.microsoft.com/office/drawing/2010/main" spid="_x0000_s4098"/>
            </a:ext>
            <a:ext uri="{FF2B5EF4-FFF2-40B4-BE49-F238E27FC236}">
              <a16:creationId xmlns:a16="http://schemas.microsoft.com/office/drawing/2014/main" xmlns:a="http://schemas.openxmlformats.org/drawingml/2006/main" xmlns:xdr="http://schemas.openxmlformats.org/drawingml/2006/spreadsheetDrawing" xmlns="" id="{00000000-0008-0000-0600-0000021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18288" tIns="0" rIns="0" bIns="0" anchor="ctr" upright="1"/>
        <a:lstStyle/>
        <a:p>
          <a:pPr algn="r" rtl="0">
            <a:defRPr sz="1000"/>
          </a:pPr>
          <a:endParaRPr lang="en-US"/>
        </a:p>
      </xdr:txBody>
    </xdr:sp>
    <xdr:clientData/>
  </xdr:twoCellAnchor>
  <xdr:twoCellAnchor editAs="oneCell">
    <xdr:from>
      <xdr:col>1</xdr:col>
      <xdr:colOff>2209800</xdr:colOff>
      <xdr:row>65</xdr:row>
      <xdr:rowOff>19050</xdr:rowOff>
    </xdr:from>
    <xdr:to>
      <xdr:col>1</xdr:col>
      <xdr:colOff>2362200</xdr:colOff>
      <xdr:row>66</xdr:row>
      <xdr:rowOff>0</xdr:rowOff>
    </xdr:to>
    <xdr:sp macro="" textlink="">
      <xdr:nvSpPr>
        <xdr:cNvPr id="4104" name="CheckBox_D1">
          <a:extLst>
            <a:ext uri="{63B3BB69-23CF-44E3-9099-C40C66FF867C}">
              <a14:compatExt xmlns:a14="http://schemas.microsoft.com/office/drawing/2010/main" spid="_x0000_s4104"/>
            </a:ext>
            <a:ext uri="{FF2B5EF4-FFF2-40B4-BE49-F238E27FC236}">
              <a16:creationId xmlns:a16="http://schemas.microsoft.com/office/drawing/2014/main" xmlns:a="http://schemas.openxmlformats.org/drawingml/2006/main" xmlns:xdr="http://schemas.openxmlformats.org/drawingml/2006/spreadsheetDrawing" xmlns="" id="{00000000-0008-0000-0600-0000081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xdr:col>
      <xdr:colOff>2209800</xdr:colOff>
      <xdr:row>66</xdr:row>
      <xdr:rowOff>19050</xdr:rowOff>
    </xdr:from>
    <xdr:to>
      <xdr:col>1</xdr:col>
      <xdr:colOff>2362200</xdr:colOff>
      <xdr:row>66</xdr:row>
      <xdr:rowOff>219075</xdr:rowOff>
    </xdr:to>
    <xdr:sp macro="" textlink="">
      <xdr:nvSpPr>
        <xdr:cNvPr id="4105" name="CheckBox_D2">
          <a:extLst>
            <a:ext uri="{63B3BB69-23CF-44E3-9099-C40C66FF867C}">
              <a14:compatExt xmlns:a14="http://schemas.microsoft.com/office/drawing/2010/main" spid="_x0000_s4105"/>
            </a:ext>
            <a:ext uri="{FF2B5EF4-FFF2-40B4-BE49-F238E27FC236}">
              <a16:creationId xmlns:a16="http://schemas.microsoft.com/office/drawing/2014/main" xmlns:a="http://schemas.openxmlformats.org/drawingml/2006/main" xmlns:xdr="http://schemas.openxmlformats.org/drawingml/2006/spreadsheetDrawing" xmlns="" id="{00000000-0008-0000-0600-0000091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xdr:col>
      <xdr:colOff>2209800</xdr:colOff>
      <xdr:row>67</xdr:row>
      <xdr:rowOff>19050</xdr:rowOff>
    </xdr:from>
    <xdr:to>
      <xdr:col>1</xdr:col>
      <xdr:colOff>2362200</xdr:colOff>
      <xdr:row>68</xdr:row>
      <xdr:rowOff>0</xdr:rowOff>
    </xdr:to>
    <xdr:sp macro="" textlink="">
      <xdr:nvSpPr>
        <xdr:cNvPr id="4106" name="CheckBox_D3">
          <a:extLst>
            <a:ext uri="{63B3BB69-23CF-44E3-9099-C40C66FF867C}">
              <a14:compatExt xmlns:a14="http://schemas.microsoft.com/office/drawing/2010/main" spid="_x0000_s4106"/>
            </a:ext>
            <a:ext uri="{FF2B5EF4-FFF2-40B4-BE49-F238E27FC236}">
              <a16:creationId xmlns:a16="http://schemas.microsoft.com/office/drawing/2014/main" xmlns:a="http://schemas.openxmlformats.org/drawingml/2006/main" xmlns:xdr="http://schemas.openxmlformats.org/drawingml/2006/spreadsheetDrawing" xmlns="" id="{00000000-0008-0000-0600-00000A1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xdr:col>
      <xdr:colOff>2209800</xdr:colOff>
      <xdr:row>68</xdr:row>
      <xdr:rowOff>19050</xdr:rowOff>
    </xdr:from>
    <xdr:to>
      <xdr:col>1</xdr:col>
      <xdr:colOff>2362200</xdr:colOff>
      <xdr:row>68</xdr:row>
      <xdr:rowOff>219075</xdr:rowOff>
    </xdr:to>
    <xdr:sp macro="" textlink="">
      <xdr:nvSpPr>
        <xdr:cNvPr id="4107" name="CheckBox_D4">
          <a:extLst>
            <a:ext uri="{63B3BB69-23CF-44E3-9099-C40C66FF867C}">
              <a14:compatExt xmlns:a14="http://schemas.microsoft.com/office/drawing/2010/main" spid="_x0000_s4107"/>
            </a:ext>
            <a:ext uri="{FF2B5EF4-FFF2-40B4-BE49-F238E27FC236}">
              <a16:creationId xmlns:a16="http://schemas.microsoft.com/office/drawing/2014/main" xmlns:a="http://schemas.openxmlformats.org/drawingml/2006/main" xmlns:xdr="http://schemas.openxmlformats.org/drawingml/2006/spreadsheetDrawing" xmlns="" id="{00000000-0008-0000-0600-00000B1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wsDr>
</file>

<file path=xl/drawings/drawing5.xml><?xml version="1.0" encoding="utf-8"?>
<xdr:wsDr xmlns:xdr="http://purl.oclc.org/ooxml/drawingml/spreadsheetDrawing" xmlns:a="http://purl.oclc.org/ooxml/drawingml/main">
  <xdr:oneCellAnchor>
    <xdr:from>
      <xdr:col>9</xdr:col>
      <xdr:colOff>657225</xdr:colOff>
      <xdr:row>31</xdr:row>
      <xdr:rowOff>0</xdr:rowOff>
    </xdr:from>
    <xdr:ext cx="65" cy="172227"/>
    <xdr:sp macro="" textlink="">
      <xdr:nvSpPr>
        <xdr:cNvPr id="3" name="TextBox 2">
          <a:extLst>
            <a:ext uri="{FF2B5EF4-FFF2-40B4-BE49-F238E27FC236}">
              <a16:creationId xmlns:a16="http://schemas.microsoft.com/office/drawing/2014/main" xmlns:a="http://schemas.openxmlformats.org/drawingml/2006/main" xmlns:xdr="http://schemas.openxmlformats.org/drawingml/2006/spreadsheetDrawing" xmlns="" id="{00000000-0008-0000-0700-000003000000}"/>
            </a:ext>
          </a:extLst>
        </xdr:cNvPr>
        <xdr:cNvSpPr txBox="1"/>
      </xdr:nvSpPr>
      <xdr:spPr>
        <a:xfrm>
          <a:off x="14099939350" y="1082802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wsDr>
</file>

<file path=xl/drawings/drawing6.xml><?xml version="1.0" encoding="utf-8"?>
<xdr:wsDr xmlns:xdr="http://purl.oclc.org/ooxml/drawingml/spreadsheetDrawing" xmlns:a="http://purl.oclc.org/ooxml/drawingml/main">
  <xdr:twoCellAnchor>
    <xdr:from>
      <xdr:col>7</xdr:col>
      <xdr:colOff>790576</xdr:colOff>
      <xdr:row>6</xdr:row>
      <xdr:rowOff>142874</xdr:rowOff>
    </xdr:from>
    <xdr:to>
      <xdr:col>25</xdr:col>
      <xdr:colOff>152401</xdr:colOff>
      <xdr:row>26</xdr:row>
      <xdr:rowOff>19050</xdr:rowOff>
    </xdr:to>
    <xdr:graphicFrame macro="">
      <xdr:nvGraphicFramePr>
        <xdr:cNvPr id="4" name="Chart 3">
          <a:extLst>
            <a:ext uri="{FF2B5EF4-FFF2-40B4-BE49-F238E27FC236}">
              <a16:creationId xmlns:a16="http://schemas.microsoft.com/office/drawing/2014/main" xmlns:a="http://schemas.openxmlformats.org/drawingml/2006/main" xmlns:xdr="http://schemas.openxmlformats.org/drawingml/2006/spreadsheetDrawing" xmlns="" id="{00000000-0008-0000-0900-000004000000}"/>
            </a:ext>
          </a:extLst>
        </xdr:cNvPr>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wsDr>
</file>

<file path=xl/drawings/drawing7.xml><?xml version="1.0" encoding="utf-8"?>
<xdr:wsDr xmlns:xdr="http://purl.oclc.org/ooxml/drawingml/spreadsheetDrawing" xmlns:a="http://purl.oclc.org/ooxml/drawingml/main">
  <xdr:twoCellAnchor editAs="oneCell">
    <xdr:from>
      <xdr:col>1</xdr:col>
      <xdr:colOff>159812</xdr:colOff>
      <xdr:row>15</xdr:row>
      <xdr:rowOff>65083</xdr:rowOff>
    </xdr:from>
    <xdr:to>
      <xdr:col>2</xdr:col>
      <xdr:colOff>430731</xdr:colOff>
      <xdr:row>19</xdr:row>
      <xdr:rowOff>201862</xdr:rowOff>
    </xdr:to>
    <xdr:pic>
      <xdr:nvPicPr>
        <xdr:cNvPr id="3" name="Picture 1">
          <a:extLst>
            <a:ext uri="{FF2B5EF4-FFF2-40B4-BE49-F238E27FC236}">
              <a16:creationId xmlns:a16="http://schemas.microsoft.com/office/drawing/2014/main" xmlns:a="http://schemas.openxmlformats.org/drawingml/2006/main" xmlns:xdr="http://schemas.openxmlformats.org/drawingml/2006/spreadsheetDrawing" xmlns="" id="{00000000-0008-0000-0B00-000003000000}"/>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2977279443" y="3196903"/>
          <a:ext cx="1043805" cy="105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xdr:col>
      <xdr:colOff>126238</xdr:colOff>
      <xdr:row>15</xdr:row>
      <xdr:rowOff>168911</xdr:rowOff>
    </xdr:from>
    <xdr:to>
      <xdr:col>4</xdr:col>
      <xdr:colOff>396613</xdr:colOff>
      <xdr:row>19</xdr:row>
      <xdr:rowOff>290762</xdr:rowOff>
    </xdr:to>
    <xdr:pic>
      <xdr:nvPicPr>
        <xdr:cNvPr id="4" name="Picture 2">
          <a:extLst>
            <a:ext uri="{FF2B5EF4-FFF2-40B4-BE49-F238E27FC236}">
              <a16:creationId xmlns:a16="http://schemas.microsoft.com/office/drawing/2014/main" xmlns:a="http://schemas.openxmlformats.org/drawingml/2006/main" xmlns:xdr="http://schemas.openxmlformats.org/drawingml/2006/spreadsheetDrawing" xmlns="" id="{00000000-0008-0000-0B00-000004000000}"/>
            </a:ext>
          </a:extLst>
        </xdr:cNvPr>
        <xdr:cNvPicPr>
          <a:picLocks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12975975707" y="3445511"/>
          <a:ext cx="1017135" cy="103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5</xdr:col>
      <xdr:colOff>8519</xdr:colOff>
      <xdr:row>15</xdr:row>
      <xdr:rowOff>75884</xdr:rowOff>
    </xdr:from>
    <xdr:to>
      <xdr:col>6</xdr:col>
      <xdr:colOff>476697</xdr:colOff>
      <xdr:row>19</xdr:row>
      <xdr:rowOff>220141</xdr:rowOff>
    </xdr:to>
    <xdr:pic>
      <xdr:nvPicPr>
        <xdr:cNvPr id="5" name="Picture 3">
          <a:extLst>
            <a:ext uri="{FF2B5EF4-FFF2-40B4-BE49-F238E27FC236}">
              <a16:creationId xmlns:a16="http://schemas.microsoft.com/office/drawing/2014/main" xmlns:a="http://schemas.openxmlformats.org/drawingml/2006/main" xmlns:xdr="http://schemas.openxmlformats.org/drawingml/2006/spreadsheetDrawing" xmlns="" id="{00000000-0008-0000-0B00-000005000000}"/>
            </a:ext>
          </a:extLst>
        </xdr:cNvPr>
        <xdr:cNvPicPr>
          <a:picLocks noChangeAspect="1" noChangeArrowheads="1"/>
        </xdr:cNvPicPr>
      </xdr:nvPicPr>
      <xdr:blipFill>
        <a:blip xmlns:r="http://purl.oclc.org/ooxml/officeDocument/relationships" r:embed="rId3" cstate="print">
          <a:extLst>
            <a:ext uri="{28A0092B-C50C-407E-A947-70E740481C1C}">
              <a14:useLocalDpi xmlns:a14="http://schemas.microsoft.com/office/drawing/2010/main" val="0"/>
            </a:ext>
          </a:extLst>
        </a:blip>
        <a:srcRect/>
        <a:stretch>
          <a:fillRect/>
        </a:stretch>
      </xdr:blipFill>
      <xdr:spPr bwMode="auto">
        <a:xfrm>
          <a:off x="12974790723" y="3352484"/>
          <a:ext cx="1054918" cy="1058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8</xdr:col>
      <xdr:colOff>599370</xdr:colOff>
      <xdr:row>15</xdr:row>
      <xdr:rowOff>67629</xdr:rowOff>
    </xdr:from>
    <xdr:to>
      <xdr:col>10</xdr:col>
      <xdr:colOff>483030</xdr:colOff>
      <xdr:row>19</xdr:row>
      <xdr:rowOff>186872</xdr:rowOff>
    </xdr:to>
    <xdr:pic>
      <xdr:nvPicPr>
        <xdr:cNvPr id="6" name="Picture 4">
          <a:extLst>
            <a:ext uri="{FF2B5EF4-FFF2-40B4-BE49-F238E27FC236}">
              <a16:creationId xmlns:a16="http://schemas.microsoft.com/office/drawing/2014/main" xmlns:a="http://schemas.openxmlformats.org/drawingml/2006/main" xmlns:xdr="http://schemas.openxmlformats.org/drawingml/2006/spreadsheetDrawing" xmlns="" id="{00000000-0008-0000-0B00-000006000000}"/>
            </a:ext>
          </a:extLst>
        </xdr:cNvPr>
        <xdr:cNvPicPr>
          <a:picLocks noChangeAspect="1" noChangeArrowheads="1"/>
        </xdr:cNvPicPr>
      </xdr:nvPicPr>
      <xdr:blipFill>
        <a:blip xmlns:r="http://purl.oclc.org/ooxml/officeDocument/relationships" r:embed="rId4" cstate="print">
          <a:extLst>
            <a:ext uri="{28A0092B-C50C-407E-A947-70E740481C1C}">
              <a14:useLocalDpi xmlns:a14="http://schemas.microsoft.com/office/drawing/2010/main" val="0"/>
            </a:ext>
          </a:extLst>
        </a:blip>
        <a:srcRect/>
        <a:stretch>
          <a:fillRect/>
        </a:stretch>
      </xdr:blipFill>
      <xdr:spPr bwMode="auto">
        <a:xfrm>
          <a:off x="12972589830" y="3344229"/>
          <a:ext cx="1041900" cy="103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6</xdr:col>
      <xdr:colOff>515755</xdr:colOff>
      <xdr:row>15</xdr:row>
      <xdr:rowOff>79376</xdr:rowOff>
    </xdr:from>
    <xdr:to>
      <xdr:col>8</xdr:col>
      <xdr:colOff>571182</xdr:colOff>
      <xdr:row>19</xdr:row>
      <xdr:rowOff>173292</xdr:rowOff>
    </xdr:to>
    <xdr:pic>
      <xdr:nvPicPr>
        <xdr:cNvPr id="9" name="Picture 8">
          <a:extLst>
            <a:ext uri="{FF2B5EF4-FFF2-40B4-BE49-F238E27FC236}">
              <a16:creationId xmlns:a16="http://schemas.microsoft.com/office/drawing/2014/main" xmlns:a="http://schemas.openxmlformats.org/drawingml/2006/main" xmlns:xdr="http://schemas.openxmlformats.org/drawingml/2006/spreadsheetDrawing" xmlns="" id="{00000000-0008-0000-0B00-000009000000}"/>
            </a:ext>
          </a:extLst>
        </xdr:cNvPr>
        <xdr:cNvPicPr>
          <a:picLocks noChangeAspect="1" noChangeArrowheads="1"/>
        </xdr:cNvPicPr>
      </xdr:nvPicPr>
      <xdr:blipFill>
        <a:blip xmlns:r="http://purl.oclc.org/ooxml/officeDocument/relationships" r:embed="rId5">
          <a:extLst>
            <a:ext uri="{28A0092B-C50C-407E-A947-70E740481C1C}">
              <a14:useLocalDpi xmlns:a14="http://schemas.microsoft.com/office/drawing/2010/main" val="0"/>
            </a:ext>
          </a:extLst>
        </a:blip>
        <a:srcRect/>
        <a:stretch>
          <a:fillRect/>
        </a:stretch>
      </xdr:blipFill>
      <xdr:spPr bwMode="auto">
        <a:xfrm>
          <a:off x="12973659918" y="3355976"/>
          <a:ext cx="1091747" cy="100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11584</xdr:colOff>
      <xdr:row>15</xdr:row>
      <xdr:rowOff>54610</xdr:rowOff>
    </xdr:from>
    <xdr:to>
      <xdr:col>12</xdr:col>
      <xdr:colOff>479761</xdr:colOff>
      <xdr:row>19</xdr:row>
      <xdr:rowOff>354222</xdr:rowOff>
    </xdr:to>
    <xdr:pic>
      <xdr:nvPicPr>
        <xdr:cNvPr id="16" name="Picture 15">
          <a:extLst>
            <a:ext uri="{FF2B5EF4-FFF2-40B4-BE49-F238E27FC236}">
              <a16:creationId xmlns:a16="http://schemas.microsoft.com/office/drawing/2014/main" xmlns:a="http://schemas.openxmlformats.org/drawingml/2006/main" xmlns:xdr="http://schemas.openxmlformats.org/drawingml/2006/spreadsheetDrawing" xmlns="" id="{00000000-0008-0000-0B00-000010000000}"/>
            </a:ext>
          </a:extLst>
        </xdr:cNvPr>
        <xdr:cNvPicPr>
          <a:picLocks noChangeAspect="1"/>
        </xdr:cNvPicPr>
      </xdr:nvPicPr>
      <xdr:blipFill>
        <a:blip xmlns:r="http://purl.oclc.org/ooxml/officeDocument/relationships" r:embed="rId6"/>
        <a:stretch>
          <a:fillRect/>
        </a:stretch>
      </xdr:blipFill>
      <xdr:spPr>
        <a:xfrm>
          <a:off x="12971488199" y="3331210"/>
          <a:ext cx="1054917" cy="1214012"/>
        </a:xfrm>
        <a:prstGeom prst="rect">
          <a:avLst/>
        </a:prstGeom>
      </xdr:spPr>
    </xdr:pic>
    <xdr:clientData/>
  </xdr:twoCellAnchor>
  <xdr:twoCellAnchor editAs="oneCell">
    <xdr:from>
      <xdr:col>13</xdr:col>
      <xdr:colOff>11272</xdr:colOff>
      <xdr:row>15</xdr:row>
      <xdr:rowOff>39687</xdr:rowOff>
    </xdr:from>
    <xdr:to>
      <xdr:col>14</xdr:col>
      <xdr:colOff>479451</xdr:colOff>
      <xdr:row>19</xdr:row>
      <xdr:rowOff>338407</xdr:rowOff>
    </xdr:to>
    <xdr:pic>
      <xdr:nvPicPr>
        <xdr:cNvPr id="17" name="Picture 16">
          <a:extLst>
            <a:ext uri="{FF2B5EF4-FFF2-40B4-BE49-F238E27FC236}">
              <a16:creationId xmlns:a16="http://schemas.microsoft.com/office/drawing/2014/main" xmlns:a="http://schemas.openxmlformats.org/drawingml/2006/main" xmlns:xdr="http://schemas.openxmlformats.org/drawingml/2006/spreadsheetDrawing" xmlns="" id="{00000000-0008-0000-0B00-000011000000}"/>
            </a:ext>
          </a:extLst>
        </xdr:cNvPr>
        <xdr:cNvPicPr>
          <a:picLocks noChangeAspect="1"/>
        </xdr:cNvPicPr>
      </xdr:nvPicPr>
      <xdr:blipFill>
        <a:blip xmlns:r="http://purl.oclc.org/ooxml/officeDocument/relationships" r:embed="rId7"/>
        <a:stretch>
          <a:fillRect/>
        </a:stretch>
      </xdr:blipFill>
      <xdr:spPr>
        <a:xfrm>
          <a:off x="12970383609" y="3316287"/>
          <a:ext cx="1054919" cy="1213120"/>
        </a:xfrm>
        <a:prstGeom prst="rect">
          <a:avLst/>
        </a:prstGeom>
      </xdr:spPr>
    </xdr:pic>
    <xdr:clientData/>
  </xdr:twoCellAnchor>
  <xdr:twoCellAnchor editAs="oneCell">
    <xdr:from>
      <xdr:col>14</xdr:col>
      <xdr:colOff>514789</xdr:colOff>
      <xdr:row>15</xdr:row>
      <xdr:rowOff>45301</xdr:rowOff>
    </xdr:from>
    <xdr:to>
      <xdr:col>16</xdr:col>
      <xdr:colOff>496885</xdr:colOff>
      <xdr:row>19</xdr:row>
      <xdr:rowOff>339399</xdr:rowOff>
    </xdr:to>
    <xdr:pic>
      <xdr:nvPicPr>
        <xdr:cNvPr id="18" name="Picture 17">
          <a:extLst>
            <a:ext uri="{FF2B5EF4-FFF2-40B4-BE49-F238E27FC236}">
              <a16:creationId xmlns:a16="http://schemas.microsoft.com/office/drawing/2014/main" xmlns:a="http://schemas.openxmlformats.org/drawingml/2006/main" xmlns:xdr="http://schemas.openxmlformats.org/drawingml/2006/spreadsheetDrawing" xmlns="" id="{00000000-0008-0000-0B00-000012000000}"/>
            </a:ext>
          </a:extLst>
        </xdr:cNvPr>
        <xdr:cNvPicPr>
          <a:picLocks noChangeAspect="1"/>
        </xdr:cNvPicPr>
      </xdr:nvPicPr>
      <xdr:blipFill>
        <a:blip xmlns:r="http://purl.oclc.org/ooxml/officeDocument/relationships" r:embed="rId8"/>
        <a:stretch>
          <a:fillRect/>
        </a:stretch>
      </xdr:blipFill>
      <xdr:spPr>
        <a:xfrm>
          <a:off x="12969261275" y="3321901"/>
          <a:ext cx="1086996" cy="1208498"/>
        </a:xfrm>
        <a:prstGeom prst="rect">
          <a:avLst/>
        </a:prstGeom>
      </xdr:spPr>
    </xdr:pic>
    <xdr:clientData/>
  </xdr:twoCellAnchor>
  <xdr:twoCellAnchor editAs="oneCell">
    <xdr:from>
      <xdr:col>17</xdr:col>
      <xdr:colOff>9688</xdr:colOff>
      <xdr:row>15</xdr:row>
      <xdr:rowOff>40006</xdr:rowOff>
    </xdr:from>
    <xdr:to>
      <xdr:col>18</xdr:col>
      <xdr:colOff>477865</xdr:colOff>
      <xdr:row>19</xdr:row>
      <xdr:rowOff>348241</xdr:rowOff>
    </xdr:to>
    <xdr:pic>
      <xdr:nvPicPr>
        <xdr:cNvPr id="19" name="Picture 18">
          <a:extLst>
            <a:ext uri="{FF2B5EF4-FFF2-40B4-BE49-F238E27FC236}">
              <a16:creationId xmlns:a16="http://schemas.microsoft.com/office/drawing/2014/main" xmlns:a="http://schemas.openxmlformats.org/drawingml/2006/main" xmlns:xdr="http://schemas.openxmlformats.org/drawingml/2006/spreadsheetDrawing" xmlns="" id="{00000000-0008-0000-0B00-000013000000}"/>
            </a:ext>
          </a:extLst>
        </xdr:cNvPr>
        <xdr:cNvPicPr>
          <a:picLocks noChangeAspect="1"/>
        </xdr:cNvPicPr>
      </xdr:nvPicPr>
      <xdr:blipFill>
        <a:blip xmlns:r="http://purl.oclc.org/ooxml/officeDocument/relationships" r:embed="rId9"/>
        <a:stretch>
          <a:fillRect/>
        </a:stretch>
      </xdr:blipFill>
      <xdr:spPr>
        <a:xfrm>
          <a:off x="12968175395" y="3316606"/>
          <a:ext cx="1054917" cy="1222635"/>
        </a:xfrm>
        <a:prstGeom prst="rect">
          <a:avLst/>
        </a:prstGeom>
      </xdr:spPr>
    </xdr:pic>
    <xdr:clientData/>
  </xdr:twoCellAnchor>
  <xdr:twoCellAnchor editAs="oneCell">
    <xdr:from>
      <xdr:col>19</xdr:col>
      <xdr:colOff>16610</xdr:colOff>
      <xdr:row>15</xdr:row>
      <xdr:rowOff>72703</xdr:rowOff>
    </xdr:from>
    <xdr:to>
      <xdr:col>20</xdr:col>
      <xdr:colOff>484788</xdr:colOff>
      <xdr:row>19</xdr:row>
      <xdr:rowOff>209482</xdr:rowOff>
    </xdr:to>
    <xdr:pic>
      <xdr:nvPicPr>
        <xdr:cNvPr id="20" name="Picture 1">
          <a:extLst>
            <a:ext uri="{FF2B5EF4-FFF2-40B4-BE49-F238E27FC236}">
              <a16:creationId xmlns:a16="http://schemas.microsoft.com/office/drawing/2014/main" xmlns:a="http://schemas.openxmlformats.org/drawingml/2006/main" xmlns:xdr="http://schemas.openxmlformats.org/drawingml/2006/spreadsheetDrawing" xmlns="" id="{00000000-0008-0000-0B00-000014000000}"/>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2967063572" y="3349303"/>
          <a:ext cx="1054918" cy="105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21</xdr:col>
      <xdr:colOff>62232</xdr:colOff>
      <xdr:row>15</xdr:row>
      <xdr:rowOff>102236</xdr:rowOff>
    </xdr:from>
    <xdr:to>
      <xdr:col>22</xdr:col>
      <xdr:colOff>530409</xdr:colOff>
      <xdr:row>19</xdr:row>
      <xdr:rowOff>266781</xdr:rowOff>
    </xdr:to>
    <xdr:pic>
      <xdr:nvPicPr>
        <xdr:cNvPr id="25" name="Picture 24">
          <a:extLst>
            <a:ext uri="{FF2B5EF4-FFF2-40B4-BE49-F238E27FC236}">
              <a16:creationId xmlns:a16="http://schemas.microsoft.com/office/drawing/2014/main" xmlns:a="http://schemas.openxmlformats.org/drawingml/2006/main" xmlns:xdr="http://schemas.openxmlformats.org/drawingml/2006/spreadsheetDrawing" xmlns="" id="{00000000-0008-0000-0B00-000019000000}"/>
            </a:ext>
          </a:extLst>
        </xdr:cNvPr>
        <xdr:cNvPicPr>
          <a:picLocks noChangeAspect="1"/>
        </xdr:cNvPicPr>
      </xdr:nvPicPr>
      <xdr:blipFill>
        <a:blip xmlns:r="http://purl.oclc.org/ooxml/officeDocument/relationships" r:embed="rId10"/>
        <a:stretch>
          <a:fillRect/>
        </a:stretch>
      </xdr:blipFill>
      <xdr:spPr>
        <a:xfrm>
          <a:off x="12965913051" y="3378836"/>
          <a:ext cx="1054917" cy="1078945"/>
        </a:xfrm>
        <a:prstGeom prst="rect">
          <a:avLst/>
        </a:prstGeom>
      </xdr:spPr>
    </xdr:pic>
    <xdr:clientData/>
  </xdr:twoCellAnchor>
</xdr:wsDr>
</file>

<file path=xl/drawings/drawing8.xml><?xml version="1.0" encoding="utf-8"?>
<xdr:wsDr xmlns:xdr="http://purl.oclc.org/ooxml/drawingml/spreadsheetDrawing" xmlns:a="http://purl.oclc.org/ooxml/drawingml/main">
  <xdr:twoCellAnchor editAs="oneCell">
    <xdr:from>
      <xdr:col>7</xdr:col>
      <xdr:colOff>28575</xdr:colOff>
      <xdr:row>3</xdr:row>
      <xdr:rowOff>19050</xdr:rowOff>
    </xdr:from>
    <xdr:to>
      <xdr:col>7</xdr:col>
      <xdr:colOff>400050</xdr:colOff>
      <xdr:row>4</xdr:row>
      <xdr:rowOff>19050</xdr:rowOff>
    </xdr:to>
    <xdr:sp macro="" textlink="">
      <xdr:nvSpPr>
        <xdr:cNvPr id="13352" name="Door1_enable">
          <a:extLst>
            <a:ext uri="{63B3BB69-23CF-44E3-9099-C40C66FF867C}">
              <a14:compatExt xmlns:a14="http://schemas.microsoft.com/office/drawing/2010/main" spid="_x0000_s12328"/>
            </a:ext>
            <a:ext uri="{FF2B5EF4-FFF2-40B4-BE49-F238E27FC236}">
              <a16:creationId xmlns:a16="http://schemas.microsoft.com/office/drawing/2014/main" xmlns:a="http://schemas.openxmlformats.org/drawingml/2006/main" xmlns:xdr="http://schemas.openxmlformats.org/drawingml/2006/spreadsheetDrawing" xmlns="" id="{00000000-0008-0000-0D00-000028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twoCellAnchor editAs="oneCell">
    <xdr:from>
      <xdr:col>7</xdr:col>
      <xdr:colOff>0</xdr:colOff>
      <xdr:row>4</xdr:row>
      <xdr:rowOff>19050</xdr:rowOff>
    </xdr:from>
    <xdr:to>
      <xdr:col>7</xdr:col>
      <xdr:colOff>514350</xdr:colOff>
      <xdr:row>5</xdr:row>
      <xdr:rowOff>0</xdr:rowOff>
    </xdr:to>
    <xdr:sp macro="" textlink="">
      <xdr:nvSpPr>
        <xdr:cNvPr id="13353" name="door2_enable">
          <a:extLst>
            <a:ext uri="{63B3BB69-23CF-44E3-9099-C40C66FF867C}">
              <a14:compatExt xmlns:a14="http://schemas.microsoft.com/office/drawing/2010/main" spid="_x0000_s12329"/>
            </a:ext>
            <a:ext uri="{FF2B5EF4-FFF2-40B4-BE49-F238E27FC236}">
              <a16:creationId xmlns:a16="http://schemas.microsoft.com/office/drawing/2014/main" xmlns:a="http://schemas.openxmlformats.org/drawingml/2006/main" xmlns:xdr="http://schemas.openxmlformats.org/drawingml/2006/spreadsheetDrawing" xmlns="" id="{00000000-0008-0000-0D00-000029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twoCellAnchor editAs="oneCell">
    <xdr:from>
      <xdr:col>7</xdr:col>
      <xdr:colOff>0</xdr:colOff>
      <xdr:row>5</xdr:row>
      <xdr:rowOff>19050</xdr:rowOff>
    </xdr:from>
    <xdr:to>
      <xdr:col>7</xdr:col>
      <xdr:colOff>361950</xdr:colOff>
      <xdr:row>6</xdr:row>
      <xdr:rowOff>0</xdr:rowOff>
    </xdr:to>
    <xdr:sp macro="" textlink="">
      <xdr:nvSpPr>
        <xdr:cNvPr id="13354" name="Check Box 42">
          <a:extLst>
            <a:ext uri="{63B3BB69-23CF-44E3-9099-C40C66FF867C}">
              <a14:compatExt xmlns:a14="http://schemas.microsoft.com/office/drawing/2010/main" spid="_x0000_s12330"/>
            </a:ext>
            <a:ext uri="{FF2B5EF4-FFF2-40B4-BE49-F238E27FC236}">
              <a16:creationId xmlns:a16="http://schemas.microsoft.com/office/drawing/2014/main" xmlns:a="http://schemas.openxmlformats.org/drawingml/2006/main" xmlns:xdr="http://schemas.openxmlformats.org/drawingml/2006/spreadsheetDrawing" xmlns="" id="{00000000-0008-0000-0D00-00002A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twoCellAnchor editAs="oneCell">
    <xdr:from>
      <xdr:col>7</xdr:col>
      <xdr:colOff>19050</xdr:colOff>
      <xdr:row>6</xdr:row>
      <xdr:rowOff>19050</xdr:rowOff>
    </xdr:from>
    <xdr:to>
      <xdr:col>7</xdr:col>
      <xdr:colOff>514350</xdr:colOff>
      <xdr:row>7</xdr:row>
      <xdr:rowOff>0</xdr:rowOff>
    </xdr:to>
    <xdr:sp macro="" textlink="">
      <xdr:nvSpPr>
        <xdr:cNvPr id="13356" name="door2_enable">
          <a:extLst>
            <a:ext uri="{63B3BB69-23CF-44E3-9099-C40C66FF867C}">
              <a14:compatExt xmlns:a14="http://schemas.microsoft.com/office/drawing/2010/main" spid="_x0000_s12332"/>
            </a:ext>
            <a:ext uri="{FF2B5EF4-FFF2-40B4-BE49-F238E27FC236}">
              <a16:creationId xmlns:a16="http://schemas.microsoft.com/office/drawing/2014/main" xmlns:a="http://schemas.openxmlformats.org/drawingml/2006/main" xmlns:xdr="http://schemas.openxmlformats.org/drawingml/2006/spreadsheetDrawing" xmlns="" id="{00000000-0008-0000-0D00-00002C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wsDr>
</file>

<file path=xl/tables/table1.xml><?xml version="1.0" encoding="utf-8"?>
<table xmlns="http://purl.oclc.org/ooxml/spreadsheetml/main" id="4" name="Tbl_Rope" displayName="Tbl_Rope" ref="B22:D33" totalsRowShown="0" headerRowBorderDxfId="27" tableBorderDxfId="26">
  <tableColumns count="3">
    <tableColumn id="1" name="Type" dataDxfId="25"/>
    <tableColumn id="2" name="Brand" dataDxfId="24"/>
    <tableColumn id="3" name="Description" dataDxfId="23"/>
  </tableColumns>
  <tableStyleInfo name="TableStyleMedium2" showFirstColumn="0" showLastColumn="0" showRowStripes="1" showColumnStripes="0"/>
</table>
</file>

<file path=xl/tables/table2.xml><?xml version="1.0" encoding="utf-8"?>
<table xmlns="http://purl.oclc.org/ooxml/spreadsheetml/main" id="3" name="Tbl_InsCo" displayName="Tbl_InsCo" ref="B2:E51" totalsRowShown="0" headerRowDxfId="22" dataDxfId="20" headerRowBorderDxfId="21" tableBorderDxfId="19" totalsRowBorderDxfId="18">
  <autoFilter ref="B2:E51"/>
  <sortState ref="B3:E51">
    <sortCondition ref="B2:B51"/>
  </sortState>
  <tableColumns count="4">
    <tableColumn id="1" name="نام شرکت" dataDxfId="17"/>
    <tableColumn id="2" name="نشانی شرکت و تلفن" dataDxfId="16"/>
    <tableColumn id="3" name="تاریخ صدور اولیه" dataDxfId="15"/>
    <tableColumn id="4" name="تاریخ اعتبار گواهینامه" dataDxfId="14"/>
  </tableColumns>
  <tableStyleInfo name="TableStyleLight9" showFirstColumn="0" showLastColumn="0" showRowStripes="1" showColumnStripes="0"/>
</table>
</file>

<file path=xl/tables/table3.xml><?xml version="1.0" encoding="utf-8"?>
<table xmlns="http://purl.oclc.org/ooxml/spreadsheetml/main" id="1" name="Tbl_door" displayName="Tbl_door" ref="B2:E9" dataDxfId="11">
  <autoFilter ref="B2:E9"/>
  <sortState ref="B3:C9">
    <sortCondition ref="C2:C9"/>
  </sortState>
  <tableColumns count="4">
    <tableColumn id="1" name="Type" totalsRowLabel="Total" dataDxfId="10" totalsRowDxfId="9"/>
    <tableColumn id="2" name="leaf" dataDxfId="8" totalsRowDxfId="7">
      <calculatedColumnFormula>45</calculatedColumnFormula>
    </tableColumn>
    <tableColumn id="3" name="Rate" dataDxfId="6" totalsRowDxfId="5"/>
    <tableColumn id="4" name="Factor" totalsRowFunction="sum" dataDxfId="4" totalsRowDxfId="3">
      <calculatedColumnFormula>Tbl_door[[#This Row],[Rate]]*Tbl_door[[#This Row],[leaf]]</calculatedColumnFormula>
    </tableColumn>
  </tableColumns>
  <tableStyleInfo name="TableStyleMedium2" showFirstColumn="0" showLastColumn="0" showRowStripes="1" showColumnStripes="0"/>
</table>
</file>

<file path=xl/tables/table4.xml><?xml version="1.0" encoding="utf-8"?>
<table xmlns="http://purl.oclc.org/ooxml/spreadsheetml/main" id="2" name="Tbl_DW" displayName="Tbl_DW" ref="B11:B60" totalsRowShown="0" headerRowDxfId="2" dataDxfId="1">
  <autoFilter ref="B11:B60"/>
  <tableColumns count="1">
    <tableColumn id="1" name="ِDoor_Width" dataDxfId="0"/>
  </tableColumns>
  <tableStyleInfo name="TableStyleLight21" showFirstColumn="0"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purl.oclc.org/ooxml/officeDocument/relationships/image" Target="../media/image4.emf"/><Relationship Id="rId18" Type="http://purl.oclc.org/ooxml/officeDocument/relationships/control" Target="../activeX/activeX7.xml"/><Relationship Id="rId26" Type="http://purl.oclc.org/ooxml/officeDocument/relationships/control" Target="../activeX/activeX11.xml"/><Relationship Id="rId39" Type="http://purl.oclc.org/ooxml/officeDocument/relationships/image" Target="../media/image17.emf"/><Relationship Id="rId21" Type="http://purl.oclc.org/ooxml/officeDocument/relationships/image" Target="../media/image8.emf"/><Relationship Id="rId34" Type="http://purl.oclc.org/ooxml/officeDocument/relationships/control" Target="../activeX/activeX15.xml"/><Relationship Id="rId42" Type="http://purl.oclc.org/ooxml/officeDocument/relationships/control" Target="../activeX/activeX19.xml"/><Relationship Id="rId47" Type="http://purl.oclc.org/ooxml/officeDocument/relationships/image" Target="../media/image21.emf"/><Relationship Id="rId50" Type="http://purl.oclc.org/ooxml/officeDocument/relationships/control" Target="../activeX/activeX23.xml"/><Relationship Id="rId55" Type="http://purl.oclc.org/ooxml/officeDocument/relationships/control" Target="../activeX/activeX26.xml"/><Relationship Id="rId63" Type="http://purl.oclc.org/ooxml/officeDocument/relationships/control" Target="../activeX/activeX30.xml"/><Relationship Id="rId68" Type="http://purl.oclc.org/ooxml/officeDocument/relationships/image" Target="../media/image31.emf"/><Relationship Id="rId76" Type="http://purl.oclc.org/ooxml/officeDocument/relationships/image" Target="../media/image35.emf"/><Relationship Id="rId84" Type="http://schemas.openxmlformats.org/officeDocument/2006/relationships/ctrlProp" Target="../ctrlProps/ctrlProp4.xml"/><Relationship Id="rId7" Type="http://purl.oclc.org/ooxml/officeDocument/relationships/image" Target="../media/image1.emf"/><Relationship Id="rId71" Type="http://purl.oclc.org/ooxml/officeDocument/relationships/control" Target="../activeX/activeX34.xml"/><Relationship Id="rId2" Type="http://purl.oclc.org/ooxml/officeDocument/relationships/printerSettings" Target="../printerSettings/printerSettings2.bin"/><Relationship Id="rId16" Type="http://purl.oclc.org/ooxml/officeDocument/relationships/control" Target="../activeX/activeX6.xml"/><Relationship Id="rId29" Type="http://purl.oclc.org/ooxml/officeDocument/relationships/image" Target="../media/image12.emf"/><Relationship Id="rId11" Type="http://purl.oclc.org/ooxml/officeDocument/relationships/image" Target="../media/image3.emf"/><Relationship Id="rId24" Type="http://purl.oclc.org/ooxml/officeDocument/relationships/control" Target="../activeX/activeX10.xml"/><Relationship Id="rId32" Type="http://purl.oclc.org/ooxml/officeDocument/relationships/control" Target="../activeX/activeX14.xml"/><Relationship Id="rId37" Type="http://purl.oclc.org/ooxml/officeDocument/relationships/image" Target="../media/image16.emf"/><Relationship Id="rId40" Type="http://purl.oclc.org/ooxml/officeDocument/relationships/control" Target="../activeX/activeX18.xml"/><Relationship Id="rId45" Type="http://purl.oclc.org/ooxml/officeDocument/relationships/image" Target="../media/image20.emf"/><Relationship Id="rId53" Type="http://purl.oclc.org/ooxml/officeDocument/relationships/control" Target="../activeX/activeX25.xml"/><Relationship Id="rId58" Type="http://purl.oclc.org/ooxml/officeDocument/relationships/image" Target="../media/image26.emf"/><Relationship Id="rId66" Type="http://purl.oclc.org/ooxml/officeDocument/relationships/image" Target="../media/image30.emf"/><Relationship Id="rId74" Type="http://purl.oclc.org/ooxml/officeDocument/relationships/image" Target="../media/image34.emf"/><Relationship Id="rId79" Type="http://purl.oclc.org/ooxml/officeDocument/relationships/control" Target="../activeX/activeX38.xml"/><Relationship Id="rId5" Type="http://schemas.openxmlformats.org/officeDocument/2006/relationships/vmlDrawing" Target="../drawings/vmlDrawing1.vml"/><Relationship Id="rId61" Type="http://purl.oclc.org/ooxml/officeDocument/relationships/control" Target="../activeX/activeX29.xml"/><Relationship Id="rId82" Type="http://schemas.openxmlformats.org/officeDocument/2006/relationships/ctrlProp" Target="../ctrlProps/ctrlProp2.xml"/><Relationship Id="rId10" Type="http://purl.oclc.org/ooxml/officeDocument/relationships/control" Target="../activeX/activeX3.xml"/><Relationship Id="rId19" Type="http://purl.oclc.org/ooxml/officeDocument/relationships/image" Target="../media/image7.emf"/><Relationship Id="rId31" Type="http://purl.oclc.org/ooxml/officeDocument/relationships/image" Target="../media/image13.emf"/><Relationship Id="rId44" Type="http://purl.oclc.org/ooxml/officeDocument/relationships/control" Target="../activeX/activeX20.xml"/><Relationship Id="rId52" Type="http://purl.oclc.org/ooxml/officeDocument/relationships/control" Target="../activeX/activeX24.xml"/><Relationship Id="rId60" Type="http://purl.oclc.org/ooxml/officeDocument/relationships/image" Target="../media/image27.emf"/><Relationship Id="rId65" Type="http://purl.oclc.org/ooxml/officeDocument/relationships/control" Target="../activeX/activeX31.xml"/><Relationship Id="rId73" Type="http://purl.oclc.org/ooxml/officeDocument/relationships/control" Target="../activeX/activeX35.xml"/><Relationship Id="rId78" Type="http://purl.oclc.org/ooxml/officeDocument/relationships/image" Target="../media/image36.emf"/><Relationship Id="rId81" Type="http://schemas.openxmlformats.org/officeDocument/2006/relationships/ctrlProp" Target="../ctrlProps/ctrlProp1.xml"/><Relationship Id="rId4" Type="http://purl.oclc.org/ooxml/officeDocument/relationships/drawing" Target="../drawings/drawing1.xml"/><Relationship Id="rId9" Type="http://purl.oclc.org/ooxml/officeDocument/relationships/image" Target="../media/image2.emf"/><Relationship Id="rId14" Type="http://purl.oclc.org/ooxml/officeDocument/relationships/control" Target="../activeX/activeX5.xml"/><Relationship Id="rId22" Type="http://purl.oclc.org/ooxml/officeDocument/relationships/control" Target="../activeX/activeX9.xml"/><Relationship Id="rId27" Type="http://purl.oclc.org/ooxml/officeDocument/relationships/image" Target="../media/image11.emf"/><Relationship Id="rId30" Type="http://purl.oclc.org/ooxml/officeDocument/relationships/control" Target="../activeX/activeX13.xml"/><Relationship Id="rId35" Type="http://purl.oclc.org/ooxml/officeDocument/relationships/image" Target="../media/image15.emf"/><Relationship Id="rId43" Type="http://purl.oclc.org/ooxml/officeDocument/relationships/image" Target="../media/image19.emf"/><Relationship Id="rId48" Type="http://purl.oclc.org/ooxml/officeDocument/relationships/control" Target="../activeX/activeX22.xml"/><Relationship Id="rId56" Type="http://purl.oclc.org/ooxml/officeDocument/relationships/image" Target="../media/image25.emf"/><Relationship Id="rId64" Type="http://purl.oclc.org/ooxml/officeDocument/relationships/image" Target="../media/image29.emf"/><Relationship Id="rId69" Type="http://purl.oclc.org/ooxml/officeDocument/relationships/control" Target="../activeX/activeX33.xml"/><Relationship Id="rId77" Type="http://purl.oclc.org/ooxml/officeDocument/relationships/control" Target="../activeX/activeX37.xml"/><Relationship Id="rId8" Type="http://purl.oclc.org/ooxml/officeDocument/relationships/control" Target="../activeX/activeX2.xml"/><Relationship Id="rId51" Type="http://purl.oclc.org/ooxml/officeDocument/relationships/image" Target="../media/image23.emf"/><Relationship Id="rId72" Type="http://purl.oclc.org/ooxml/officeDocument/relationships/image" Target="../media/image33.emf"/><Relationship Id="rId80" Type="http://purl.oclc.org/ooxml/officeDocument/relationships/image" Target="../media/image37.emf"/><Relationship Id="rId3" Type="http://purl.oclc.org/ooxml/officeDocument/relationships/printerSettings" Target="../printerSettings/printerSettings3.bin"/><Relationship Id="rId12" Type="http://purl.oclc.org/ooxml/officeDocument/relationships/control" Target="../activeX/activeX4.xml"/><Relationship Id="rId17" Type="http://purl.oclc.org/ooxml/officeDocument/relationships/image" Target="../media/image6.emf"/><Relationship Id="rId25" Type="http://purl.oclc.org/ooxml/officeDocument/relationships/image" Target="../media/image10.emf"/><Relationship Id="rId33" Type="http://purl.oclc.org/ooxml/officeDocument/relationships/image" Target="../media/image14.emf"/><Relationship Id="rId38" Type="http://purl.oclc.org/ooxml/officeDocument/relationships/control" Target="../activeX/activeX17.xml"/><Relationship Id="rId46" Type="http://purl.oclc.org/ooxml/officeDocument/relationships/control" Target="../activeX/activeX21.xml"/><Relationship Id="rId59" Type="http://purl.oclc.org/ooxml/officeDocument/relationships/control" Target="../activeX/activeX28.xml"/><Relationship Id="rId67" Type="http://purl.oclc.org/ooxml/officeDocument/relationships/control" Target="../activeX/activeX32.xml"/><Relationship Id="rId20" Type="http://purl.oclc.org/ooxml/officeDocument/relationships/control" Target="../activeX/activeX8.xml"/><Relationship Id="rId41" Type="http://purl.oclc.org/ooxml/officeDocument/relationships/image" Target="../media/image18.emf"/><Relationship Id="rId54" Type="http://purl.oclc.org/ooxml/officeDocument/relationships/image" Target="../media/image24.emf"/><Relationship Id="rId62" Type="http://purl.oclc.org/ooxml/officeDocument/relationships/image" Target="../media/image28.emf"/><Relationship Id="rId70" Type="http://purl.oclc.org/ooxml/officeDocument/relationships/image" Target="../media/image32.emf"/><Relationship Id="rId75" Type="http://purl.oclc.org/ooxml/officeDocument/relationships/control" Target="../activeX/activeX36.xml"/><Relationship Id="rId83" Type="http://schemas.openxmlformats.org/officeDocument/2006/relationships/ctrlProp" Target="../ctrlProps/ctrlProp3.xml"/><Relationship Id="rId1" Type="http://purl.oclc.org/ooxml/officeDocument/relationships/printerSettings" Target="../printerSettings/printerSettings1.bin"/><Relationship Id="rId6" Type="http://purl.oclc.org/ooxml/officeDocument/relationships/control" Target="../activeX/activeX1.xml"/><Relationship Id="rId15" Type="http://purl.oclc.org/ooxml/officeDocument/relationships/image" Target="../media/image5.emf"/><Relationship Id="rId23" Type="http://purl.oclc.org/ooxml/officeDocument/relationships/image" Target="../media/image9.emf"/><Relationship Id="rId28" Type="http://purl.oclc.org/ooxml/officeDocument/relationships/control" Target="../activeX/activeX12.xml"/><Relationship Id="rId36" Type="http://purl.oclc.org/ooxml/officeDocument/relationships/control" Target="../activeX/activeX16.xml"/><Relationship Id="rId49" Type="http://purl.oclc.org/ooxml/officeDocument/relationships/image" Target="../media/image22.emf"/><Relationship Id="rId57" Type="http://purl.oclc.org/ooxml/officeDocument/relationships/control" Target="../activeX/activeX27.xml"/></Relationships>
</file>

<file path=xl/worksheets/_rels/sheet10.xml.rels><?xml version="1.0" encoding="UTF-8" standalone="yes"?>
<Relationships xmlns="http://schemas.openxmlformats.org/package/2006/relationships"><Relationship Id="rId3" Type="http://purl.oclc.org/ooxml/officeDocument/relationships/printerSettings" Target="../printerSettings/printerSettings22.bin"/><Relationship Id="rId2" Type="http://purl.oclc.org/ooxml/officeDocument/relationships/printerSettings" Target="../printerSettings/printerSettings21.bin"/><Relationship Id="rId1" Type="http://purl.oclc.org/ooxml/officeDocument/relationships/printerSettings" Target="../printerSettings/printerSettings20.bin"/><Relationship Id="rId4" Type="http://purl.oclc.org/ooxml/officeDocument/relationships/drawing" Target="../drawings/drawing6.xml"/></Relationships>
</file>

<file path=xl/worksheets/_rels/sheet11.xml.rels><?xml version="1.0" encoding="UTF-8" standalone="yes"?>
<Relationships xmlns="http://schemas.openxmlformats.org/package/2006/relationships"><Relationship Id="rId2" Type="http://purl.oclc.org/ooxml/officeDocument/relationships/printerSettings" Target="../printerSettings/printerSettings24.bin"/><Relationship Id="rId1" Type="http://purl.oclc.org/ooxml/officeDocument/relationships/printerSettings" Target="../printerSettings/printerSettings23.bin"/></Relationships>
</file>

<file path=xl/worksheets/_rels/sheet12.xml.rels><?xml version="1.0" encoding="UTF-8" standalone="yes"?>
<Relationships xmlns="http://schemas.openxmlformats.org/package/2006/relationships"><Relationship Id="rId3" Type="http://purl.oclc.org/ooxml/officeDocument/relationships/drawing" Target="../drawings/drawing7.xml"/><Relationship Id="rId2" Type="http://purl.oclc.org/ooxml/officeDocument/relationships/printerSettings" Target="../printerSettings/printerSettings26.bin"/><Relationship Id="rId1" Type="http://purl.oclc.org/ooxml/officeDocument/relationships/printerSettings" Target="../printerSettings/printerSettings25.bin"/><Relationship Id="rId4" Type="http://purl.oclc.org/ooxml/officeDocument/relationships/table" Target="../tables/table1.xml"/></Relationships>
</file>

<file path=xl/worksheets/_rels/sheet13.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27.bin"/></Relationships>
</file>

<file path=xl/worksheets/_rels/sheet14.xml.rels><?xml version="1.0" encoding="UTF-8" standalone="yes"?>
<Relationships xmlns="http://schemas.openxmlformats.org/package/2006/relationships"><Relationship Id="rId8" Type="http://purl.oclc.org/ooxml/officeDocument/relationships/table" Target="../tables/table3.xml"/><Relationship Id="rId3" Type="http://schemas.openxmlformats.org/officeDocument/2006/relationships/vmlDrawing" Target="../drawings/vmlDrawing3.vml"/><Relationship Id="rId7" Type="http://schemas.openxmlformats.org/officeDocument/2006/relationships/ctrlProp" Target="../ctrlProps/ctrlProp9.xml"/><Relationship Id="rId2" Type="http://purl.oclc.org/ooxml/officeDocument/relationships/drawing" Target="../drawings/drawing8.xml"/><Relationship Id="rId1" Type="http://purl.oclc.org/ooxml/officeDocument/relationships/printerSettings" Target="../printerSettings/printerSettings2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purl.oclc.org/ooxml/officeDocument/relationships/table" Target="../tables/table4.xml"/></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3.xml.rels><?xml version="1.0" encoding="UTF-8" standalone="yes"?>
<Relationships xmlns="http://schemas.openxmlformats.org/package/2006/relationships"><Relationship Id="rId3" Type="http://purl.oclc.org/ooxml/officeDocument/relationships/printerSettings" Target="../printerSettings/printerSettings7.bin"/><Relationship Id="rId2" Type="http://purl.oclc.org/ooxml/officeDocument/relationships/printerSettings" Target="../printerSettings/printerSettings6.bin"/><Relationship Id="rId1" Type="http://purl.oclc.org/ooxml/officeDocument/relationships/printerSettings" Target="../printerSettings/printerSettings5.bin"/><Relationship Id="rId4" Type="http://purl.oclc.org/ooxml/officeDocument/relationships/drawing" Target="../drawings/drawing2.xm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10.bin"/><Relationship Id="rId2" Type="http://purl.oclc.org/ooxml/officeDocument/relationships/printerSettings" Target="../printerSettings/printerSettings9.bin"/><Relationship Id="rId1" Type="http://purl.oclc.org/ooxml/officeDocument/relationships/printerSettings" Target="../printerSettings/printerSettings8.bin"/></Relationships>
</file>

<file path=xl/worksheets/_rels/sheet5.xml.rels><?xml version="1.0" encoding="UTF-8" standalone="yes"?>
<Relationships xmlns="http://schemas.openxmlformats.org/package/2006/relationships"><Relationship Id="rId3" Type="http://purl.oclc.org/ooxml/officeDocument/relationships/printerSettings" Target="../printerSettings/printerSettings13.bin"/><Relationship Id="rId2" Type="http://purl.oclc.org/ooxml/officeDocument/relationships/printerSettings" Target="../printerSettings/printerSettings12.bin"/><Relationship Id="rId1" Type="http://purl.oclc.org/ooxml/officeDocument/relationships/printerSettings" Target="../printerSettings/printerSettings11.bin"/><Relationship Id="rId4" Type="http://purl.oclc.org/ooxml/officeDocument/relationships/drawing" Target="../drawings/drawing3.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7.xml.rels><?xml version="1.0" encoding="UTF-8" standalone="yes"?>
<Relationships xmlns="http://schemas.openxmlformats.org/package/2006/relationships"><Relationship Id="rId8" Type="http://purl.oclc.org/ooxml/officeDocument/relationships/image" Target="../media/image44.emf"/><Relationship Id="rId3" Type="http://purl.oclc.org/ooxml/officeDocument/relationships/drawing" Target="../drawings/drawing4.xml"/><Relationship Id="rId7" Type="http://purl.oclc.org/ooxml/officeDocument/relationships/control" Target="../activeX/activeX40.xml"/><Relationship Id="rId2" Type="http://purl.oclc.org/ooxml/officeDocument/relationships/printerSettings" Target="../printerSettings/printerSettings16.bin"/><Relationship Id="rId1" Type="http://purl.oclc.org/ooxml/officeDocument/relationships/printerSettings" Target="../printerSettings/printerSettings15.bin"/><Relationship Id="rId6" Type="http://purl.oclc.org/ooxml/officeDocument/relationships/image" Target="../media/image43.emf"/><Relationship Id="rId11" Type="http://schemas.openxmlformats.org/officeDocument/2006/relationships/ctrlProp" Target="../ctrlProps/ctrlProp5.xml"/><Relationship Id="rId5" Type="http://purl.oclc.org/ooxml/officeDocument/relationships/control" Target="../activeX/activeX39.xml"/><Relationship Id="rId10" Type="http://purl.oclc.org/ooxml/officeDocument/relationships/control" Target="../activeX/activeX42.xml"/><Relationship Id="rId4" Type="http://schemas.openxmlformats.org/officeDocument/2006/relationships/vmlDrawing" Target="../drawings/vmlDrawing2.vml"/><Relationship Id="rId9" Type="http://purl.oclc.org/ooxml/officeDocument/relationships/control" Target="../activeX/activeX41.xml"/></Relationships>
</file>

<file path=xl/worksheets/_rels/sheet8.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17.bin"/></Relationships>
</file>

<file path=xl/worksheets/_rels/sheet9.xml.rels><?xml version="1.0" encoding="UTF-8" standalone="yes"?>
<Relationships xmlns="http://schemas.openxmlformats.org/package/2006/relationships"><Relationship Id="rId2" Type="http://purl.oclc.org/ooxml/officeDocument/relationships/printerSettings" Target="../printerSettings/printerSettings19.bin"/><Relationship Id="rId1" Type="http://purl.oclc.org/ooxml/officeDocument/relationships/printerSettings" Target="../printerSettings/printerSettings18.bin"/></Relationships>
</file>

<file path=xl/worksheets/sheet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sheetPr codeName="SheetInputs">
    <tabColor rgb="FFFFFFCC"/>
  </sheetPr>
  <dimension ref="A1:I299"/>
  <sheetViews>
    <sheetView showGridLines="0" rightToLeft="1" tabSelected="1" showRuler="0" zoomScaleNormal="100" zoomScaleSheetLayoutView="100" workbookViewId="0">
      <selection activeCell="C3" sqref="C3:E3"/>
    </sheetView>
  </sheetViews>
  <sheetFormatPr defaultColWidth="8.69921875" defaultRowHeight="17.25"/>
  <cols>
    <col min="1" max="1" width="2.69921875" style="3" bestFit="1" customWidth="1"/>
    <col min="2" max="2" width="39.69921875" style="3" customWidth="1"/>
    <col min="3" max="3" width="6.19921875" style="1" customWidth="1"/>
    <col min="4" max="4" width="14.09765625" style="9" bestFit="1" customWidth="1"/>
    <col min="5" max="5" width="17.5" style="134" customWidth="1"/>
    <col min="6" max="6" width="41.59765625" style="79" customWidth="1"/>
    <col min="7" max="7" width="7.8984375" style="629" hidden="1" customWidth="1"/>
    <col min="8" max="8" width="3.09765625" style="3" hidden="1" customWidth="1"/>
    <col min="9" max="9" width="3.8984375" style="3" hidden="1" customWidth="1"/>
    <col min="10" max="16384" width="8.69921875" style="3"/>
  </cols>
  <sheetData>
    <row r="1" spans="1:8" s="2" customFormat="1" ht="37.15" customHeight="1" thickBot="1">
      <c r="B1" s="569"/>
      <c r="C1" s="569"/>
      <c r="D1" s="569"/>
      <c r="E1" s="569"/>
      <c r="F1" s="79"/>
      <c r="G1" s="628" t="s">
        <v>922</v>
      </c>
    </row>
    <row r="2" spans="1:8" ht="17.25" customHeight="1">
      <c r="A2" s="690" t="s">
        <v>0</v>
      </c>
      <c r="B2" s="570" t="s">
        <v>5</v>
      </c>
      <c r="C2" s="697"/>
      <c r="D2" s="698"/>
      <c r="E2" s="699"/>
      <c r="G2" s="626" t="s">
        <v>925</v>
      </c>
    </row>
    <row r="3" spans="1:8" ht="17.25" customHeight="1">
      <c r="A3" s="691"/>
      <c r="B3" s="571" t="s">
        <v>496</v>
      </c>
      <c r="C3" s="700"/>
      <c r="D3" s="701"/>
      <c r="E3" s="702"/>
      <c r="G3" s="626" t="s">
        <v>923</v>
      </c>
    </row>
    <row r="4" spans="1:8" ht="15.75">
      <c r="A4" s="691"/>
      <c r="B4" s="571" t="s">
        <v>6</v>
      </c>
      <c r="C4" s="695" t="s">
        <v>926</v>
      </c>
      <c r="D4" s="695"/>
      <c r="E4" s="696"/>
      <c r="F4" s="573"/>
    </row>
    <row r="5" spans="1:8" ht="70.150000000000006" customHeight="1" thickBot="1">
      <c r="A5" s="692"/>
      <c r="B5" s="572" t="s">
        <v>495</v>
      </c>
      <c r="C5" s="693"/>
      <c r="D5" s="693"/>
      <c r="E5" s="694"/>
      <c r="F5" s="573"/>
    </row>
    <row r="6" spans="1:8" ht="16.5" thickBot="1">
      <c r="A6" s="10"/>
      <c r="B6" s="91" t="s">
        <v>1</v>
      </c>
      <c r="C6" s="369" t="s">
        <v>2</v>
      </c>
      <c r="D6" s="369" t="s">
        <v>3</v>
      </c>
      <c r="E6" s="370" t="s">
        <v>4</v>
      </c>
      <c r="F6" s="573"/>
    </row>
    <row r="7" spans="1:8" ht="19.149999999999999" customHeight="1">
      <c r="A7" s="690" t="s">
        <v>681</v>
      </c>
      <c r="B7" s="269" t="s">
        <v>625</v>
      </c>
      <c r="C7" s="270" t="s">
        <v>63</v>
      </c>
      <c r="D7" s="75" t="s">
        <v>924</v>
      </c>
      <c r="E7" s="275" t="s">
        <v>328</v>
      </c>
      <c r="F7" s="573"/>
    </row>
    <row r="8" spans="1:8" ht="19.149999999999999" customHeight="1">
      <c r="A8" s="691"/>
      <c r="B8" s="271" t="s">
        <v>758</v>
      </c>
      <c r="C8" s="272" t="s">
        <v>172</v>
      </c>
      <c r="D8" s="73">
        <v>10</v>
      </c>
      <c r="E8" s="276" t="s">
        <v>330</v>
      </c>
      <c r="F8" s="356"/>
    </row>
    <row r="9" spans="1:8" ht="19.149999999999999" customHeight="1">
      <c r="A9" s="691"/>
      <c r="B9" s="271" t="s">
        <v>759</v>
      </c>
      <c r="C9" s="272" t="s">
        <v>55</v>
      </c>
      <c r="D9" s="77">
        <v>28.8</v>
      </c>
      <c r="E9" s="276" t="s">
        <v>56</v>
      </c>
    </row>
    <row r="10" spans="1:8" s="5" customFormat="1" ht="19.149999999999999" customHeight="1">
      <c r="A10" s="691"/>
      <c r="B10" s="271" t="s">
        <v>760</v>
      </c>
      <c r="C10" s="272" t="s">
        <v>7</v>
      </c>
      <c r="D10" s="73">
        <v>10</v>
      </c>
      <c r="E10" s="276" t="s">
        <v>329</v>
      </c>
      <c r="F10" s="574" t="str">
        <f>IF(Passengers_No.=1,"حداقل بار نامی برای 1 نفر= 100 کیلوگرم ",IF(Passengers_No.=2,"حداقل بار نامی برای 2 نفر= 180 کیلوگرم ","حداقل بار نامی برای "&amp;Passengers_No.&amp;" نفر = "&amp;Passengers_No.*75&amp;" کیلوگرم "))</f>
        <v xml:space="preserve">حداقل بار نامی برای 10 نفر = 750 کیلوگرم </v>
      </c>
      <c r="G10" s="624"/>
      <c r="H10" s="5">
        <f>IF(AND(Passengers_No.=1,Q&lt;100),1,IF(AND(Passengers_No.=2,Q&lt;180),1,IF(Passengers_No.*75&gt;Q,1,0)))</f>
        <v>0</v>
      </c>
    </row>
    <row r="11" spans="1:8" ht="19.149999999999999" customHeight="1">
      <c r="A11" s="691"/>
      <c r="B11" s="271" t="s">
        <v>321</v>
      </c>
      <c r="C11" s="272" t="s">
        <v>24</v>
      </c>
      <c r="D11" s="73">
        <v>800</v>
      </c>
      <c r="E11" s="276" t="s">
        <v>26</v>
      </c>
    </row>
    <row r="12" spans="1:8" ht="19.149999999999999" customHeight="1">
      <c r="A12" s="691"/>
      <c r="B12" s="271" t="s">
        <v>407</v>
      </c>
      <c r="C12" s="272" t="s">
        <v>24</v>
      </c>
      <c r="D12" s="73">
        <v>800</v>
      </c>
      <c r="E12" s="276" t="s">
        <v>25</v>
      </c>
      <c r="F12" s="573"/>
    </row>
    <row r="13" spans="1:8" ht="19.149999999999999" customHeight="1">
      <c r="A13" s="691"/>
      <c r="B13" s="271" t="s">
        <v>27</v>
      </c>
      <c r="C13" s="272" t="s">
        <v>19</v>
      </c>
      <c r="D13" s="73">
        <v>1350</v>
      </c>
      <c r="E13" s="276" t="s">
        <v>276</v>
      </c>
      <c r="F13" s="575">
        <v>1</v>
      </c>
    </row>
    <row r="14" spans="1:8" ht="19.149999999999999" customHeight="1">
      <c r="A14" s="691"/>
      <c r="B14" s="271" t="s">
        <v>28</v>
      </c>
      <c r="C14" s="272" t="s">
        <v>19</v>
      </c>
      <c r="D14" s="73">
        <v>1400</v>
      </c>
      <c r="E14" s="276" t="s">
        <v>277</v>
      </c>
      <c r="F14" s="576"/>
    </row>
    <row r="15" spans="1:8" ht="19.149999999999999" customHeight="1">
      <c r="A15" s="691"/>
      <c r="B15" s="547" t="s">
        <v>439</v>
      </c>
      <c r="C15" s="272" t="s">
        <v>293</v>
      </c>
      <c r="D15" s="605">
        <f>A1.+A2.+A3.</f>
        <v>1.964</v>
      </c>
      <c r="E15" s="276" t="str">
        <f>IF(Amin&gt;Atotal,"Amin &gt; Atotal =",IF(Amax&lt;Atotal,"Amax &lt; Atotal =","Atotal ="))</f>
        <v>Atotal =</v>
      </c>
      <c r="G15" s="630" t="b">
        <v>0</v>
      </c>
    </row>
    <row r="16" spans="1:8" s="5" customFormat="1" ht="19.149999999999999" customHeight="1">
      <c r="A16" s="691"/>
      <c r="B16" s="271" t="s">
        <v>9</v>
      </c>
      <c r="C16" s="272" t="s">
        <v>10</v>
      </c>
      <c r="D16" s="77">
        <v>1.6</v>
      </c>
      <c r="E16" s="276" t="s">
        <v>271</v>
      </c>
      <c r="F16" s="577"/>
      <c r="G16" s="624"/>
    </row>
    <row r="17" spans="1:9" s="5" customFormat="1" ht="19.149999999999999" hidden="1" customHeight="1">
      <c r="A17" s="691"/>
      <c r="B17" s="271" t="s">
        <v>468</v>
      </c>
      <c r="C17" s="272" t="s">
        <v>19</v>
      </c>
      <c r="D17" s="73">
        <v>750</v>
      </c>
      <c r="E17" s="276" t="s">
        <v>171</v>
      </c>
      <c r="F17" s="578">
        <v>1</v>
      </c>
      <c r="G17" s="624"/>
    </row>
    <row r="18" spans="1:9" s="5" customFormat="1" ht="19.149999999999999" hidden="1" customHeight="1">
      <c r="A18" s="691"/>
      <c r="B18" s="271" t="s">
        <v>173</v>
      </c>
      <c r="C18" s="272" t="s">
        <v>63</v>
      </c>
      <c r="D18" s="385" t="s">
        <v>474</v>
      </c>
      <c r="E18" s="276" t="str">
        <f>IF(Door_Type="تلسکوپی 2 لنگه","C2R/L",IF(Door_Type="تلسکوپی 3 لنگه","C3R/L",IF(Door_Type="سانترال 2 لنگه","C2C",IF(Door_Type="سانترال 4 لنگه","C4C","C6C"))))</f>
        <v>C6C</v>
      </c>
      <c r="F18" s="579" t="str">
        <f>IF(F17=0,"هیچ دری در نظر گرفته نشده است","تعداد "&amp;F17&amp;" در منظور شده است")</f>
        <v>تعداد 1 در منظور شده است</v>
      </c>
      <c r="G18" s="624"/>
    </row>
    <row r="19" spans="1:9" s="5" customFormat="1" ht="19.149999999999999" hidden="1" customHeight="1">
      <c r="A19" s="691"/>
      <c r="B19" s="271" t="s">
        <v>660</v>
      </c>
      <c r="C19" s="272" t="s">
        <v>19</v>
      </c>
      <c r="D19" s="73">
        <v>60</v>
      </c>
      <c r="E19" s="276" t="s">
        <v>174</v>
      </c>
      <c r="F19" s="580"/>
      <c r="G19" s="624"/>
    </row>
    <row r="20" spans="1:9" s="5" customFormat="1" ht="19.149999999999999" hidden="1" customHeight="1">
      <c r="A20" s="691"/>
      <c r="B20" s="271" t="s">
        <v>292</v>
      </c>
      <c r="C20" s="272" t="s">
        <v>19</v>
      </c>
      <c r="D20" s="73">
        <v>3700</v>
      </c>
      <c r="E20" s="276" t="s">
        <v>12</v>
      </c>
      <c r="F20" s="8"/>
      <c r="G20" s="624"/>
    </row>
    <row r="21" spans="1:9" s="5" customFormat="1" ht="19.149999999999999" hidden="1" customHeight="1">
      <c r="A21" s="691"/>
      <c r="B21" s="271" t="s">
        <v>13</v>
      </c>
      <c r="C21" s="272" t="s">
        <v>19</v>
      </c>
      <c r="D21" s="73">
        <v>1400</v>
      </c>
      <c r="E21" s="276" t="s">
        <v>14</v>
      </c>
      <c r="F21" s="8"/>
      <c r="G21" s="624"/>
    </row>
    <row r="22" spans="1:9" s="5" customFormat="1" ht="19.149999999999999" customHeight="1" thickBot="1">
      <c r="A22" s="692"/>
      <c r="B22" s="273" t="s">
        <v>372</v>
      </c>
      <c r="C22" s="274" t="s">
        <v>63</v>
      </c>
      <c r="D22" s="612" t="s">
        <v>375</v>
      </c>
      <c r="E22" s="361" t="s">
        <v>373</v>
      </c>
      <c r="F22" s="8"/>
      <c r="G22" s="624"/>
    </row>
    <row r="23" spans="1:9" s="5" customFormat="1" ht="5.65" customHeight="1" thickBot="1">
      <c r="A23" s="510"/>
      <c r="B23" s="8"/>
      <c r="C23" s="1"/>
      <c r="D23" s="12"/>
      <c r="E23" s="130"/>
      <c r="F23" s="8"/>
      <c r="G23" s="629"/>
    </row>
    <row r="24" spans="1:9" s="5" customFormat="1" ht="17.649999999999999" customHeight="1">
      <c r="A24" s="690" t="s">
        <v>16</v>
      </c>
      <c r="B24" s="278" t="s">
        <v>679</v>
      </c>
      <c r="C24" s="706" t="s">
        <v>812</v>
      </c>
      <c r="D24" s="707"/>
      <c r="E24" s="275" t="s">
        <v>657</v>
      </c>
      <c r="F24" s="8"/>
      <c r="G24" s="624"/>
    </row>
    <row r="25" spans="1:9" s="5" customFormat="1" ht="19.149999999999999" customHeight="1">
      <c r="A25" s="691"/>
      <c r="B25" s="279" t="s">
        <v>762</v>
      </c>
      <c r="C25" s="272" t="s">
        <v>17</v>
      </c>
      <c r="D25" s="77">
        <v>11</v>
      </c>
      <c r="E25" s="276" t="s">
        <v>272</v>
      </c>
      <c r="F25" s="8"/>
      <c r="G25" s="624"/>
    </row>
    <row r="26" spans="1:9" s="5" customFormat="1" ht="19.149999999999999" customHeight="1">
      <c r="A26" s="691"/>
      <c r="B26" s="279" t="s">
        <v>761</v>
      </c>
      <c r="C26" s="272" t="s">
        <v>24</v>
      </c>
      <c r="D26" s="73">
        <v>5000</v>
      </c>
      <c r="E26" s="276" t="s">
        <v>460</v>
      </c>
      <c r="F26" s="8"/>
      <c r="G26" s="624"/>
    </row>
    <row r="27" spans="1:9" s="5" customFormat="1" ht="19.149999999999999" customHeight="1">
      <c r="A27" s="691"/>
      <c r="B27" s="279" t="s">
        <v>643</v>
      </c>
      <c r="C27" s="272" t="s">
        <v>24</v>
      </c>
      <c r="D27" s="73">
        <v>600</v>
      </c>
      <c r="E27" s="276" t="s">
        <v>273</v>
      </c>
      <c r="F27" s="581"/>
      <c r="G27" s="624"/>
    </row>
    <row r="28" spans="1:9" s="5" customFormat="1" ht="19.149999999999999" customHeight="1">
      <c r="A28" s="691"/>
      <c r="B28" s="279" t="s">
        <v>18</v>
      </c>
      <c r="C28" s="272" t="s">
        <v>19</v>
      </c>
      <c r="D28" s="73">
        <v>400</v>
      </c>
      <c r="E28" s="276" t="s">
        <v>274</v>
      </c>
      <c r="F28" s="587" t="str">
        <f>IF(Dt/dsr&lt;40,"&lt;-Not Ok-&gt; قطر پولی باید حداقل 40 برابر قطر سیم بکسل باشد","&lt;-OK-&gt;")</f>
        <v>&lt;-OK-&gt;</v>
      </c>
      <c r="G28" s="624"/>
      <c r="I28" s="5">
        <f>IF(ISNUMBER(SEARCH("Not Ok",$F28)),1,0)</f>
        <v>0</v>
      </c>
    </row>
    <row r="29" spans="1:9" s="5" customFormat="1" ht="19.149999999999999" customHeight="1">
      <c r="A29" s="691"/>
      <c r="B29" s="279" t="s">
        <v>810</v>
      </c>
      <c r="C29" s="272" t="s">
        <v>19</v>
      </c>
      <c r="D29" s="689">
        <v>400</v>
      </c>
      <c r="E29" s="276" t="s">
        <v>301</v>
      </c>
      <c r="F29" s="587" t="str">
        <f>IF(G38=TRUE,"",IF(dDP/dsr&lt;40,"&lt;-Not Ok-&gt; قطر پولی باید حداقل 40 برابر قطر سیم بکسل باشد","&lt;-OK-&gt;"))</f>
        <v/>
      </c>
      <c r="G29" s="624"/>
      <c r="I29" s="5">
        <f>IF(ISNUMBER(SEARCH("&lt;-Not Ok-&gt;",$F29)),1,0)</f>
        <v>0</v>
      </c>
    </row>
    <row r="30" spans="1:9" s="5" customFormat="1" ht="19.149999999999999" customHeight="1">
      <c r="A30" s="691"/>
      <c r="B30" s="279" t="s">
        <v>806</v>
      </c>
      <c r="C30" s="272" t="s">
        <v>22</v>
      </c>
      <c r="D30" s="74">
        <v>25</v>
      </c>
      <c r="E30" s="276" t="s">
        <v>198</v>
      </c>
      <c r="F30" s="582" t="str">
        <f>IF(AND(OR(Groove_Type="V",Groove_Type="V hardened"),γ&lt;35),"&lt;-Error-&gt; برای شیار V شکل، γ باید بیش از 35 باشد",(IF(AND(Groove_Type="V",Beta=0),"&lt;-Error-&gt; شیار وی شکل یدون زیر برش باید سخت کاری شده باشد","&lt;-Ok-&gt;")))</f>
        <v>&lt;-Ok-&gt;</v>
      </c>
      <c r="G30" s="624"/>
      <c r="H30" s="5">
        <f>IF(ISNUMBER(SEARCH("Error",$F30)),1,0)</f>
        <v>0</v>
      </c>
    </row>
    <row r="31" spans="1:9" s="5" customFormat="1" ht="112.15" customHeight="1">
      <c r="A31" s="691"/>
      <c r="B31" s="279" t="s">
        <v>20</v>
      </c>
      <c r="C31" s="272"/>
      <c r="D31" s="357" t="s">
        <v>811</v>
      </c>
      <c r="E31" s="133"/>
      <c r="F31" s="654"/>
      <c r="G31" s="624"/>
    </row>
    <row r="32" spans="1:9" s="5" customFormat="1" ht="19.149999999999999" customHeight="1">
      <c r="A32" s="691"/>
      <c r="B32" s="279" t="s">
        <v>808</v>
      </c>
      <c r="C32" s="272"/>
      <c r="D32" s="398" t="b">
        <v>1</v>
      </c>
      <c r="E32" s="276"/>
      <c r="F32" s="583"/>
      <c r="G32" s="624"/>
    </row>
    <row r="33" spans="1:8" s="5" customFormat="1" ht="19.149999999999999" customHeight="1">
      <c r="A33" s="691"/>
      <c r="B33" s="279" t="s">
        <v>807</v>
      </c>
      <c r="C33" s="272" t="s">
        <v>22</v>
      </c>
      <c r="D33" s="399">
        <v>97.2</v>
      </c>
      <c r="E33" s="276" t="s">
        <v>199</v>
      </c>
      <c r="F33" s="584"/>
      <c r="G33" s="624"/>
    </row>
    <row r="34" spans="1:8" s="5" customFormat="1" ht="19.149999999999999" customHeight="1">
      <c r="A34" s="691"/>
      <c r="B34" s="279" t="s">
        <v>630</v>
      </c>
      <c r="C34" s="272" t="s">
        <v>63</v>
      </c>
      <c r="D34" s="358">
        <v>1</v>
      </c>
      <c r="E34" s="276" t="s">
        <v>270</v>
      </c>
      <c r="F34" s="8"/>
      <c r="G34" s="624"/>
    </row>
    <row r="35" spans="1:8" s="5" customFormat="1" ht="19.149999999999999" customHeight="1">
      <c r="A35" s="691"/>
      <c r="B35" s="279" t="s">
        <v>644</v>
      </c>
      <c r="C35" s="272" t="s">
        <v>19</v>
      </c>
      <c r="D35" s="688">
        <v>700</v>
      </c>
      <c r="E35" s="276" t="s">
        <v>15</v>
      </c>
      <c r="F35" s="8"/>
      <c r="G35" s="624"/>
    </row>
    <row r="36" spans="1:8" s="5" customFormat="1" ht="19.149999999999999" customHeight="1">
      <c r="A36" s="691"/>
      <c r="B36" s="281" t="s">
        <v>645</v>
      </c>
      <c r="C36" s="272" t="s">
        <v>19</v>
      </c>
      <c r="D36" s="683">
        <v>800</v>
      </c>
      <c r="E36" s="276" t="s">
        <v>275</v>
      </c>
      <c r="F36" s="583"/>
      <c r="G36" s="624">
        <f>180+ROUND(2*DEGREES(ATAN((Dt-dDP)/SQRT(lp^2+hP^2))),0)</f>
        <v>180</v>
      </c>
    </row>
    <row r="37" spans="1:8" s="5" customFormat="1" ht="19.149999999999999" customHeight="1">
      <c r="A37" s="691"/>
      <c r="B37" s="280" t="s">
        <v>449</v>
      </c>
      <c r="C37" s="272" t="s">
        <v>419</v>
      </c>
      <c r="D37" s="397">
        <v>1</v>
      </c>
      <c r="E37" s="282" t="str">
        <f>IF(Wr=1, "پیچش تکی", "پیچش دوبل")</f>
        <v>پیچش تکی</v>
      </c>
      <c r="F37" s="8"/>
      <c r="G37" s="625">
        <f>IF(hP="",180,ROUND(DEGREES(PI()-ASIN(((lp*(lp^2+hP^2-(Dt/2-dDP/2)^2)^0.5)-hP*(Dt/2-dDP/2))/(lp^2+hP^2))),0))</f>
        <v>159</v>
      </c>
    </row>
    <row r="38" spans="1:8" s="5" customFormat="1" ht="19.149999999999999" customHeight="1" thickBot="1">
      <c r="A38" s="692"/>
      <c r="B38" s="360" t="s">
        <v>450</v>
      </c>
      <c r="C38" s="274" t="s">
        <v>22</v>
      </c>
      <c r="D38" s="686">
        <v>180</v>
      </c>
      <c r="E38" s="277" t="str">
        <f>IF(Wr=1,"α =","α = α1+α2 =")</f>
        <v>α =</v>
      </c>
      <c r="F38" s="8"/>
      <c r="G38" s="622" t="b">
        <v>1</v>
      </c>
    </row>
    <row r="39" spans="1:8" s="5" customFormat="1" ht="7.5" customHeight="1" thickBot="1">
      <c r="A39" s="192"/>
      <c r="B39" s="3"/>
      <c r="C39" s="1"/>
      <c r="D39" s="79"/>
      <c r="E39" s="134"/>
      <c r="F39" s="8"/>
      <c r="G39" s="629"/>
      <c r="H39" s="3"/>
    </row>
    <row r="40" spans="1:8" ht="19.149999999999999" customHeight="1">
      <c r="A40" s="690" t="s">
        <v>682</v>
      </c>
      <c r="B40" s="269" t="s">
        <v>23</v>
      </c>
      <c r="C40" s="270"/>
      <c r="D40" s="563" t="s">
        <v>133</v>
      </c>
      <c r="E40" s="283" t="str">
        <f>INDEX(Guide_Rail_Table,Guide_Rail_Type,2)</f>
        <v>89-62-16</v>
      </c>
      <c r="G40" s="627">
        <f>MATCH(D40,'ریلهای راهنما'!B4:B16,0)</f>
        <v>6</v>
      </c>
    </row>
    <row r="41" spans="1:8" ht="19.149999999999999" customHeight="1">
      <c r="A41" s="691"/>
      <c r="B41" s="271" t="s">
        <v>633</v>
      </c>
      <c r="C41" s="272"/>
      <c r="D41" s="73" t="s">
        <v>227</v>
      </c>
      <c r="E41" s="362" t="s">
        <v>369</v>
      </c>
      <c r="F41" s="582" t="str">
        <f>IF(AND(VCar&gt;0.63,Safety_gear_Type="لحظه ای"),"&lt;-Error-&gt; با این سرعت نمیتوان از پاراشوت لحظه‌ای استفاده نمود",(IF(AND(VCar&gt;1,Safety_gear_Type="غلطکی"),"&lt;-Error-&gt; با این سرعت نمیتوان از پاراشوت غلطکی استفاده نمود","&lt;-OK-&gt;")))</f>
        <v>&lt;-OK-&gt;</v>
      </c>
      <c r="G41" s="624"/>
      <c r="H41" s="5">
        <f>IF(ISNUMBER(SEARCH("Error",$F41)),1,0)</f>
        <v>0</v>
      </c>
    </row>
    <row r="42" spans="1:8" ht="19.149999999999999" customHeight="1">
      <c r="A42" s="691"/>
      <c r="B42" s="271" t="s">
        <v>804</v>
      </c>
      <c r="C42" s="272" t="s">
        <v>19</v>
      </c>
      <c r="D42" s="73">
        <v>1800</v>
      </c>
      <c r="E42" s="276" t="s">
        <v>30</v>
      </c>
      <c r="F42" s="585"/>
    </row>
    <row r="43" spans="1:8" ht="19.149999999999999" customHeight="1">
      <c r="A43" s="691"/>
      <c r="B43" s="271" t="s">
        <v>231</v>
      </c>
      <c r="C43" s="272" t="s">
        <v>19</v>
      </c>
      <c r="D43" s="73">
        <v>3200</v>
      </c>
      <c r="E43" s="276" t="s">
        <v>32</v>
      </c>
      <c r="F43" s="586"/>
    </row>
    <row r="44" spans="1:8" ht="19.149999999999999" customHeight="1">
      <c r="A44" s="691"/>
      <c r="B44" s="271" t="s">
        <v>33</v>
      </c>
      <c r="C44" s="272" t="s">
        <v>601</v>
      </c>
      <c r="D44" s="73">
        <v>2</v>
      </c>
      <c r="E44" s="276" t="s">
        <v>34</v>
      </c>
      <c r="F44" s="586"/>
    </row>
    <row r="45" spans="1:8" ht="19.149999999999999" customHeight="1">
      <c r="A45" s="691"/>
      <c r="B45" s="271" t="s">
        <v>35</v>
      </c>
      <c r="C45" s="272" t="s">
        <v>63</v>
      </c>
      <c r="D45" s="618">
        <v>0.42</v>
      </c>
      <c r="E45" s="276" t="s">
        <v>36</v>
      </c>
    </row>
    <row r="46" spans="1:8" ht="19.149999999999999" customHeight="1">
      <c r="A46" s="691"/>
      <c r="B46" s="271" t="s">
        <v>805</v>
      </c>
      <c r="C46" s="272" t="s">
        <v>37</v>
      </c>
      <c r="D46" s="73">
        <v>0</v>
      </c>
      <c r="E46" s="276" t="s">
        <v>917</v>
      </c>
      <c r="F46" s="573"/>
    </row>
    <row r="47" spans="1:8" ht="19.149999999999999" customHeight="1">
      <c r="A47" s="691"/>
      <c r="B47" s="271" t="s">
        <v>440</v>
      </c>
      <c r="C47" s="272" t="s">
        <v>19</v>
      </c>
      <c r="D47" s="73">
        <v>-50</v>
      </c>
      <c r="E47" s="276" t="s">
        <v>278</v>
      </c>
      <c r="F47" s="573"/>
    </row>
    <row r="48" spans="1:8" ht="19.149999999999999" customHeight="1">
      <c r="A48" s="691"/>
      <c r="B48" s="271" t="s">
        <v>441</v>
      </c>
      <c r="C48" s="272" t="s">
        <v>19</v>
      </c>
      <c r="D48" s="73">
        <v>0</v>
      </c>
      <c r="E48" s="276" t="s">
        <v>279</v>
      </c>
    </row>
    <row r="49" spans="1:9" ht="19.149999999999999" customHeight="1">
      <c r="A49" s="691"/>
      <c r="B49" s="271" t="s">
        <v>442</v>
      </c>
      <c r="C49" s="272" t="s">
        <v>19</v>
      </c>
      <c r="D49" s="73">
        <v>40</v>
      </c>
      <c r="E49" s="276" t="s">
        <v>280</v>
      </c>
    </row>
    <row r="50" spans="1:9" ht="19.149999999999999" customHeight="1">
      <c r="A50" s="691"/>
      <c r="B50" s="271" t="s">
        <v>443</v>
      </c>
      <c r="C50" s="272" t="s">
        <v>19</v>
      </c>
      <c r="D50" s="73">
        <v>40</v>
      </c>
      <c r="E50" s="276" t="s">
        <v>281</v>
      </c>
    </row>
    <row r="51" spans="1:9" ht="19.149999999999999" customHeight="1">
      <c r="A51" s="691"/>
      <c r="B51" s="271" t="s">
        <v>444</v>
      </c>
      <c r="C51" s="272" t="s">
        <v>19</v>
      </c>
      <c r="D51" s="73">
        <v>0</v>
      </c>
      <c r="E51" s="276" t="s">
        <v>282</v>
      </c>
    </row>
    <row r="52" spans="1:9" ht="19.149999999999999" customHeight="1">
      <c r="A52" s="691"/>
      <c r="B52" s="271" t="s">
        <v>445</v>
      </c>
      <c r="C52" s="272" t="s">
        <v>19</v>
      </c>
      <c r="D52" s="73">
        <v>0</v>
      </c>
      <c r="E52" s="276" t="s">
        <v>283</v>
      </c>
    </row>
    <row r="53" spans="1:9" ht="19.149999999999999" customHeight="1">
      <c r="A53" s="691"/>
      <c r="B53" s="271" t="s">
        <v>446</v>
      </c>
      <c r="C53" s="272" t="s">
        <v>19</v>
      </c>
      <c r="D53" s="73">
        <v>1145</v>
      </c>
      <c r="E53" s="276" t="s">
        <v>284</v>
      </c>
    </row>
    <row r="54" spans="1:9" ht="19.149999999999999" customHeight="1" thickBot="1">
      <c r="A54" s="692"/>
      <c r="B54" s="273" t="s">
        <v>447</v>
      </c>
      <c r="C54" s="274" t="s">
        <v>19</v>
      </c>
      <c r="D54" s="73">
        <v>50</v>
      </c>
      <c r="E54" s="277" t="s">
        <v>249</v>
      </c>
    </row>
    <row r="55" spans="1:9" ht="4.9000000000000004" customHeight="1" thickBot="1">
      <c r="A55" s="510"/>
      <c r="B55" s="514"/>
      <c r="C55" s="179"/>
      <c r="D55" s="516"/>
      <c r="E55" s="515"/>
    </row>
    <row r="56" spans="1:9" ht="17.649999999999999" customHeight="1">
      <c r="A56" s="690" t="s">
        <v>699</v>
      </c>
      <c r="B56" s="269" t="s">
        <v>646</v>
      </c>
      <c r="C56" s="708" t="s">
        <v>350</v>
      </c>
      <c r="D56" s="709"/>
      <c r="E56" s="287" t="str">
        <f>INDEX(Rope_Type_Table,Rope_Type,2)</f>
        <v>گوستاو ولف</v>
      </c>
      <c r="F56" s="84" t="str">
        <f>INDEX(Rope_Type_Table,Rope_Type,3)</f>
        <v>8x19 وارینگتون با مغز کنفی</v>
      </c>
      <c r="G56" s="629">
        <f>MATCH(C56,'سيم بکسلها'!B23:B33,0)</f>
        <v>2</v>
      </c>
    </row>
    <row r="57" spans="1:9" ht="17.649999999999999" customHeight="1">
      <c r="A57" s="691"/>
      <c r="B57" s="271" t="s">
        <v>647</v>
      </c>
      <c r="C57" s="272" t="s">
        <v>19</v>
      </c>
      <c r="D57" s="78">
        <v>10</v>
      </c>
      <c r="E57" s="276" t="s">
        <v>285</v>
      </c>
      <c r="F57" s="587" t="str">
        <f>IF(AND(dsr&lt;8,NOT(Rope_Type=5),NOT(Rope_Type=9),NOT(Rope_Type=11)),"&lt;-Error-&gt; برای قطر 6 و 6.5 فقط نوع مغز  فولادی مجاز است",IF(dsr&lt;8,"&lt;-Not Ok-&gt; قطر سیم بکسل کمتر از 8 میباشد","&lt;-OK-&gt;"))</f>
        <v>&lt;-OK-&gt;</v>
      </c>
      <c r="H57" s="5">
        <f>IF(ISNUMBER(SEARCH("Error",$F57)),1,0)</f>
        <v>0</v>
      </c>
      <c r="I57" s="5">
        <f>IF(ISNUMBER(SEARCH("&lt;-Not Ok-&gt;",$F57)),1,0)</f>
        <v>0</v>
      </c>
    </row>
    <row r="58" spans="1:9" ht="17.649999999999999" customHeight="1">
      <c r="A58" s="691"/>
      <c r="B58" s="271" t="s">
        <v>47</v>
      </c>
      <c r="C58" s="272" t="s">
        <v>48</v>
      </c>
      <c r="D58" s="73">
        <v>4</v>
      </c>
      <c r="E58" s="276" t="s">
        <v>286</v>
      </c>
      <c r="F58" s="588"/>
    </row>
    <row r="59" spans="1:9" ht="17.649999999999999" customHeight="1" thickBot="1">
      <c r="A59" s="691"/>
      <c r="B59" s="273" t="s">
        <v>217</v>
      </c>
      <c r="C59" s="274" t="str">
        <f>IF(r.=1,"1:1",IF(r.=2,"2:1","4:1"))</f>
        <v>2:1</v>
      </c>
      <c r="D59" s="121">
        <v>2</v>
      </c>
      <c r="E59" s="277" t="s">
        <v>57</v>
      </c>
    </row>
    <row r="60" spans="1:9" ht="17.649999999999999" customHeight="1">
      <c r="A60" s="691"/>
      <c r="B60" s="269" t="s">
        <v>49</v>
      </c>
      <c r="C60" s="270" t="s">
        <v>48</v>
      </c>
      <c r="D60" s="75">
        <v>1</v>
      </c>
      <c r="E60" s="275" t="s">
        <v>287</v>
      </c>
      <c r="F60" s="589"/>
    </row>
    <row r="61" spans="1:9" ht="17.649999999999999" customHeight="1" thickBot="1">
      <c r="A61" s="691"/>
      <c r="B61" s="273" t="s">
        <v>51</v>
      </c>
      <c r="C61" s="274" t="s">
        <v>161</v>
      </c>
      <c r="D61" s="125">
        <v>0.45</v>
      </c>
      <c r="E61" s="277" t="s">
        <v>288</v>
      </c>
      <c r="F61" s="589"/>
    </row>
    <row r="62" spans="1:9" ht="17.649999999999999" customHeight="1">
      <c r="A62" s="691"/>
      <c r="B62" s="269" t="s">
        <v>467</v>
      </c>
      <c r="C62" s="270" t="s">
        <v>48</v>
      </c>
      <c r="D62" s="363">
        <v>0</v>
      </c>
      <c r="E62" s="275" t="s">
        <v>289</v>
      </c>
      <c r="F62" s="590"/>
    </row>
    <row r="63" spans="1:9" ht="17.649999999999999" customHeight="1">
      <c r="A63" s="691"/>
      <c r="B63" s="285" t="s">
        <v>648</v>
      </c>
      <c r="C63" s="286" t="s">
        <v>63</v>
      </c>
      <c r="D63" s="292" t="str">
        <f>IF(nc&lt;1,"ندارد","دارد")</f>
        <v>ندارد</v>
      </c>
      <c r="E63" s="288" t="s">
        <v>207</v>
      </c>
      <c r="F63" s="591" t="str">
        <f>ROUND(nc*mcr/(msr*nS*r.)*100,1)&amp;"%"</f>
        <v>0%</v>
      </c>
      <c r="G63" s="631">
        <v>0.9</v>
      </c>
    </row>
    <row r="64" spans="1:9" ht="18.75">
      <c r="A64" s="691"/>
      <c r="B64" s="271" t="s">
        <v>685</v>
      </c>
      <c r="C64" s="272" t="s">
        <v>161</v>
      </c>
      <c r="D64" s="684">
        <v>3.6270000000000002</v>
      </c>
      <c r="E64" s="276" t="s">
        <v>390</v>
      </c>
      <c r="F64" s="591" t="str">
        <f>IF(AND(EN81_="1old",mcr*nc/r.&gt;msr*nS),"&lt;-Error-&gt;در محاسبات قدیم جبران بیش از 100% مجاز نیست ",IF(mcr*nc/r.&gt;msr*nS,"&lt;-Warning-&gt; وزن زنجیر جبران(ها) بیش از وزن سیم بکسلها است"," &lt;-OK-&gt; "))</f>
        <v xml:space="preserve"> &lt;-OK-&gt; </v>
      </c>
      <c r="H64" s="5">
        <f>IF(ISNUMBER(SEARCH("Error",$F64)),1,0)</f>
        <v>0</v>
      </c>
    </row>
    <row r="65" spans="1:9" ht="18.75">
      <c r="A65" s="691"/>
      <c r="B65" s="284" t="s">
        <v>809</v>
      </c>
      <c r="C65" s="272" t="s">
        <v>46</v>
      </c>
      <c r="D65" s="683">
        <v>0</v>
      </c>
      <c r="E65" s="541" t="s">
        <v>683</v>
      </c>
    </row>
    <row r="66" spans="1:9" ht="19.5" thickBot="1">
      <c r="A66" s="691"/>
      <c r="B66" s="273" t="s">
        <v>52</v>
      </c>
      <c r="C66" s="274" t="s">
        <v>46</v>
      </c>
      <c r="D66" s="685">
        <v>0</v>
      </c>
      <c r="E66" s="361" t="s">
        <v>451</v>
      </c>
    </row>
    <row r="67" spans="1:9" ht="18.75">
      <c r="A67" s="691"/>
      <c r="B67" s="285" t="s">
        <v>53</v>
      </c>
      <c r="C67" s="286" t="s">
        <v>37</v>
      </c>
      <c r="D67" s="123">
        <v>200</v>
      </c>
      <c r="E67" s="288" t="s">
        <v>737</v>
      </c>
      <c r="F67" s="591" t="str">
        <f>IF(FRCar&gt;(1-ηs)*(1-q.)*Q*0.6*9.8,"&lt;-Error-&gt;نیروی اصطکاک سمت کابین بیش ازحد است "," &lt;-OK-&gt; ")</f>
        <v xml:space="preserve"> &lt;-OK-&gt; </v>
      </c>
      <c r="H67" s="5">
        <f>IF(ISNUMBER(SEARCH("Error",$F67)),1,0)</f>
        <v>0</v>
      </c>
    </row>
    <row r="68" spans="1:9" ht="17.649999999999999" customHeight="1">
      <c r="A68" s="691"/>
      <c r="B68" s="271" t="s">
        <v>54</v>
      </c>
      <c r="C68" s="272" t="s">
        <v>37</v>
      </c>
      <c r="D68" s="73">
        <v>100</v>
      </c>
      <c r="E68" s="276" t="s">
        <v>736</v>
      </c>
      <c r="F68" s="591" t="str">
        <f>IF(FRCwt&gt;(1-ηs)*(1-q.)*Q*0.3*9.8,"&lt;-Error-&gt;نیروی اصطکاک سمت وزنه بیش ازحد است "," &lt;-OK-&gt; ")</f>
        <v xml:space="preserve"> &lt;-OK-&gt; </v>
      </c>
      <c r="H68" s="5">
        <f>IF(ISNUMBER(SEARCH("Error",$F68)),1,0)</f>
        <v>0</v>
      </c>
    </row>
    <row r="69" spans="1:9" ht="17.649999999999999" customHeight="1" thickBot="1">
      <c r="A69" s="692"/>
      <c r="B69" s="273" t="s">
        <v>224</v>
      </c>
      <c r="C69" s="274" t="s">
        <v>324</v>
      </c>
      <c r="D69" s="76">
        <v>0.5</v>
      </c>
      <c r="E69" s="277" t="s">
        <v>58</v>
      </c>
    </row>
    <row r="70" spans="1:9" ht="6" customHeight="1" thickBot="1">
      <c r="A70" s="192"/>
      <c r="B70" s="8"/>
      <c r="D70" s="124"/>
      <c r="E70" s="130"/>
      <c r="F70" s="588"/>
    </row>
    <row r="71" spans="1:9" ht="19.5" thickBot="1">
      <c r="A71" s="713" t="s">
        <v>225</v>
      </c>
      <c r="B71" s="269" t="s">
        <v>332</v>
      </c>
      <c r="C71" s="270" t="s">
        <v>48</v>
      </c>
      <c r="D71" s="75">
        <v>0</v>
      </c>
      <c r="E71" s="275" t="s">
        <v>291</v>
      </c>
      <c r="F71" s="128" t="str">
        <f>IF(Npr&gt;(iDPcar+iDPcwt),"&lt;-Error-&gt;  تعداد خم معکوس نمیتواند از تعداد کل پولی های هرزگرد بیشتر باشد",IF(AND(Wr=2,Npr&gt;0),"&lt;-Error-&gt;   پیچش دوبل نمیتواند خم معکوس داشته باشد","&lt;-OK-&gt;"))</f>
        <v>&lt;-OK-&gt;</v>
      </c>
      <c r="H71" s="5">
        <f>IF(ISNUMBER(SEARCH("Error",$F71)),1,0)</f>
        <v>0</v>
      </c>
    </row>
    <row r="72" spans="1:9" ht="17.649999999999999" customHeight="1" thickBot="1">
      <c r="A72" s="714"/>
      <c r="B72" s="710" t="s">
        <v>215</v>
      </c>
      <c r="C72" s="711"/>
      <c r="D72" s="711"/>
      <c r="E72" s="712"/>
    </row>
    <row r="73" spans="1:9" ht="20.65" customHeight="1">
      <c r="A73" s="714"/>
      <c r="B73" s="534" t="s">
        <v>216</v>
      </c>
      <c r="C73" s="535" t="s">
        <v>212</v>
      </c>
      <c r="D73" s="535" t="s">
        <v>214</v>
      </c>
      <c r="E73" s="538" t="s">
        <v>213</v>
      </c>
      <c r="H73" s="11"/>
    </row>
    <row r="74" spans="1:9" ht="20.65" customHeight="1">
      <c r="A74" s="714"/>
      <c r="B74" s="271" t="s">
        <v>222</v>
      </c>
      <c r="C74" s="122">
        <v>1</v>
      </c>
      <c r="D74" s="687">
        <v>400</v>
      </c>
      <c r="E74" s="536" t="s">
        <v>228</v>
      </c>
      <c r="F74" s="587" t="str">
        <f>IF(AND(iDPcar+iDPcwt&lt;&gt;1,$G$38=FALSE),"&lt;-Error-&gt; جمعاً یک پولی ثابت باید داشته باشد",IF(AND(dDPcar/dsr&lt;40,iDPcar&gt;0),"&lt;-Not Ok-&gt; قطر پولی باید حداقل 40 برابر قطر سیم بکسل باشد","&lt;-OK-&gt;"))</f>
        <v>&lt;-OK-&gt;</v>
      </c>
      <c r="H74" s="5">
        <f t="shared" ref="H74:H77" si="0">IF(ISNUMBER(SEARCH("Error",$F74)),1,0)</f>
        <v>0</v>
      </c>
      <c r="I74" s="5">
        <f>IF(ISNUMBER(SEARCH("&lt;-Not Ok-&gt;",$F74)),1,0)</f>
        <v>0</v>
      </c>
    </row>
    <row r="75" spans="1:9" ht="20.65" customHeight="1">
      <c r="A75" s="714"/>
      <c r="B75" s="271" t="s">
        <v>221</v>
      </c>
      <c r="C75" s="122">
        <v>0</v>
      </c>
      <c r="D75" s="687">
        <v>400</v>
      </c>
      <c r="E75" s="536" t="s">
        <v>897</v>
      </c>
      <c r="F75" s="587" t="str">
        <f>IF(AND(iDPcar+iDPcwt&lt;&gt;1,$G$38=FALSE),"&lt;-Error-&gt; جمعاً یک پولی ثابت باید داشته باشد",IF(AND(dDPcwt/dsr&lt;40,iDPcwt&gt;0),"&lt;-Not Ok-&gt; قطر پولی باید حداقل 40 برابر قطر سیم بکسل باشد","&lt;-OK-&gt;"))</f>
        <v>&lt;-OK-&gt;</v>
      </c>
      <c r="H75" s="5">
        <f t="shared" si="0"/>
        <v>0</v>
      </c>
      <c r="I75" s="5">
        <f t="shared" ref="I75:I77" si="1">IF(ISNUMBER(SEARCH("&lt;-Not Ok-&gt;",$F75)),1,0)</f>
        <v>0</v>
      </c>
    </row>
    <row r="76" spans="1:9" ht="20.65" customHeight="1">
      <c r="A76" s="714"/>
      <c r="B76" s="271" t="s">
        <v>219</v>
      </c>
      <c r="C76" s="616">
        <v>2</v>
      </c>
      <c r="D76" s="73">
        <v>400</v>
      </c>
      <c r="E76" s="536" t="s">
        <v>228</v>
      </c>
      <c r="F76" s="587" t="str">
        <f>IF(AND(r.&gt;1,iPcar&lt;1),"&lt;-Error-&gt;  درسیستم 2:1حداقل باید یک پولی داشته باشد",IF(AND(dPcar/dsr&lt;40,iPcar&gt;0),"&lt;-Not Ok-&gt; قطر پولی باید حداقل 40 برابر قطر سیم بکسل باشد","&lt;-OK-&gt;"))</f>
        <v>&lt;-OK-&gt;</v>
      </c>
      <c r="H76" s="5">
        <f t="shared" si="0"/>
        <v>0</v>
      </c>
      <c r="I76" s="5">
        <f t="shared" si="1"/>
        <v>0</v>
      </c>
    </row>
    <row r="77" spans="1:9" ht="20.65" customHeight="1" thickBot="1">
      <c r="A77" s="715"/>
      <c r="B77" s="273" t="s">
        <v>220</v>
      </c>
      <c r="C77" s="617">
        <v>1</v>
      </c>
      <c r="D77" s="121">
        <v>440</v>
      </c>
      <c r="E77" s="537" t="s">
        <v>228</v>
      </c>
      <c r="F77" s="587" t="str">
        <f>IF(AND(r.&gt;1,iPcwt&lt;1),"&lt;-Error-&gt;  درسیستم 2:1حداقل باید یک پولی داشته باشد",IF(AND(dPcwt/dsr&lt;40,iPcwt&gt;0),"&lt;-Not Ok-&gt; قطر پولی باید حداقل 40 برابر قطر سیم بکسل باشد","&lt;-OK-&gt;"))</f>
        <v>&lt;-OK-&gt;</v>
      </c>
      <c r="H77" s="5">
        <f t="shared" si="0"/>
        <v>0</v>
      </c>
      <c r="I77" s="5">
        <f t="shared" si="1"/>
        <v>0</v>
      </c>
    </row>
    <row r="78" spans="1:9" ht="5.65" customHeight="1" thickBot="1">
      <c r="A78" s="192"/>
      <c r="B78" s="8"/>
      <c r="D78" s="124"/>
      <c r="E78" s="130"/>
      <c r="F78" s="588"/>
    </row>
    <row r="79" spans="1:9" ht="20.65" customHeight="1">
      <c r="A79" s="703" t="s">
        <v>671</v>
      </c>
      <c r="B79" s="534" t="s">
        <v>678</v>
      </c>
      <c r="C79" s="535" t="s">
        <v>673</v>
      </c>
      <c r="D79" s="535" t="s">
        <v>173</v>
      </c>
      <c r="E79" s="611" t="s">
        <v>680</v>
      </c>
    </row>
    <row r="80" spans="1:9" ht="19.5" customHeight="1">
      <c r="A80" s="704"/>
      <c r="B80" s="271" t="s">
        <v>674</v>
      </c>
      <c r="C80" s="594">
        <v>900</v>
      </c>
      <c r="D80" s="594" t="s">
        <v>471</v>
      </c>
      <c r="E80" s="595">
        <v>60</v>
      </c>
      <c r="F80" s="591" t="str">
        <f>IF(AND(EN81_&lt;&gt;"1Old",DoorNo.=0),"&lt;-Error-&gt;در محاسبات جدید حداقل باید یک در منظور شود. "," &lt;-OK-&gt; ")</f>
        <v xml:space="preserve"> &lt;-OK-&gt; </v>
      </c>
      <c r="H80" s="5">
        <f>IF(ISNUMBER(SEARCH("Error",$F80)),1,0)</f>
        <v>0</v>
      </c>
    </row>
    <row r="81" spans="1:9" ht="18.600000000000001" customHeight="1">
      <c r="A81" s="704"/>
      <c r="B81" s="271" t="s">
        <v>675</v>
      </c>
      <c r="C81" s="542">
        <v>800</v>
      </c>
      <c r="D81" s="542" t="s">
        <v>471</v>
      </c>
      <c r="E81" s="543">
        <v>60</v>
      </c>
    </row>
    <row r="82" spans="1:9" ht="18.600000000000001" customHeight="1">
      <c r="A82" s="704"/>
      <c r="B82" s="271" t="s">
        <v>676</v>
      </c>
      <c r="C82" s="542">
        <v>800</v>
      </c>
      <c r="D82" s="542" t="s">
        <v>471</v>
      </c>
      <c r="E82" s="543">
        <v>60</v>
      </c>
    </row>
    <row r="83" spans="1:9" ht="18.600000000000001" customHeight="1" thickBot="1">
      <c r="A83" s="705"/>
      <c r="B83" s="273" t="s">
        <v>684</v>
      </c>
      <c r="C83" s="614">
        <v>800</v>
      </c>
      <c r="D83" s="614" t="s">
        <v>471</v>
      </c>
      <c r="E83" s="615">
        <v>60</v>
      </c>
    </row>
    <row r="84" spans="1:9" ht="18.600000000000001" customHeight="1">
      <c r="D84" s="79"/>
      <c r="H84" s="623">
        <f>SUM(H6:H83)</f>
        <v>0</v>
      </c>
      <c r="I84" s="623">
        <f>SUM(I6:I83)</f>
        <v>0</v>
      </c>
    </row>
    <row r="85" spans="1:9">
      <c r="D85" s="79"/>
    </row>
    <row r="86" spans="1:9" ht="18.75" customHeight="1">
      <c r="D86" s="79"/>
    </row>
    <row r="87" spans="1:9" ht="18.75" customHeight="1">
      <c r="D87" s="79"/>
    </row>
    <row r="88" spans="1:9">
      <c r="D88" s="79"/>
    </row>
    <row r="89" spans="1:9">
      <c r="D89" s="79"/>
    </row>
    <row r="90" spans="1:9">
      <c r="D90" s="79"/>
    </row>
    <row r="91" spans="1:9">
      <c r="D91" s="79"/>
    </row>
    <row r="92" spans="1:9">
      <c r="D92" s="79"/>
    </row>
    <row r="93" spans="1:9">
      <c r="D93" s="79"/>
    </row>
    <row r="94" spans="1:9">
      <c r="D94" s="79"/>
    </row>
    <row r="95" spans="1:9">
      <c r="D95" s="79"/>
    </row>
    <row r="96" spans="1:9">
      <c r="D96" s="79"/>
    </row>
    <row r="97" spans="4:4">
      <c r="D97" s="79"/>
    </row>
    <row r="98" spans="4:4">
      <c r="D98" s="79"/>
    </row>
    <row r="99" spans="4:4">
      <c r="D99" s="79"/>
    </row>
    <row r="100" spans="4:4">
      <c r="D100" s="79"/>
    </row>
    <row r="101" spans="4:4">
      <c r="D101" s="79"/>
    </row>
    <row r="102" spans="4:4">
      <c r="D102" s="79"/>
    </row>
    <row r="103" spans="4:4">
      <c r="D103" s="79"/>
    </row>
    <row r="104" spans="4:4">
      <c r="D104" s="79"/>
    </row>
    <row r="105" spans="4:4">
      <c r="D105" s="79"/>
    </row>
    <row r="106" spans="4:4">
      <c r="D106" s="79"/>
    </row>
    <row r="107" spans="4:4">
      <c r="D107" s="79"/>
    </row>
    <row r="108" spans="4:4">
      <c r="D108" s="79"/>
    </row>
    <row r="109" spans="4:4">
      <c r="D109" s="79"/>
    </row>
    <row r="110" spans="4:4">
      <c r="D110" s="79"/>
    </row>
    <row r="111" spans="4:4">
      <c r="D111" s="79"/>
    </row>
    <row r="112" spans="4:4">
      <c r="D112" s="79"/>
    </row>
    <row r="113" spans="4:4">
      <c r="D113" s="79"/>
    </row>
    <row r="114" spans="4:4">
      <c r="D114" s="79"/>
    </row>
    <row r="115" spans="4:4">
      <c r="D115" s="79"/>
    </row>
    <row r="116" spans="4:4">
      <c r="D116" s="79"/>
    </row>
    <row r="117" spans="4:4">
      <c r="D117" s="79"/>
    </row>
    <row r="118" spans="4:4">
      <c r="D118" s="79"/>
    </row>
    <row r="119" spans="4:4">
      <c r="D119" s="79"/>
    </row>
    <row r="120" spans="4:4">
      <c r="D120" s="79"/>
    </row>
    <row r="121" spans="4:4">
      <c r="D121" s="79"/>
    </row>
    <row r="122" spans="4:4">
      <c r="D122" s="79"/>
    </row>
    <row r="123" spans="4:4">
      <c r="D123" s="79"/>
    </row>
    <row r="124" spans="4:4">
      <c r="D124" s="79"/>
    </row>
    <row r="125" spans="4:4">
      <c r="D125" s="79"/>
    </row>
    <row r="126" spans="4:4">
      <c r="D126" s="79"/>
    </row>
    <row r="127" spans="4:4">
      <c r="D127" s="79"/>
    </row>
    <row r="128" spans="4:4">
      <c r="D128" s="79"/>
    </row>
    <row r="129" spans="4:4">
      <c r="D129" s="79"/>
    </row>
    <row r="130" spans="4:4">
      <c r="D130" s="79"/>
    </row>
    <row r="131" spans="4:4">
      <c r="D131" s="79"/>
    </row>
    <row r="132" spans="4:4">
      <c r="D132" s="79"/>
    </row>
    <row r="133" spans="4:4">
      <c r="D133" s="79"/>
    </row>
    <row r="134" spans="4:4">
      <c r="D134" s="79"/>
    </row>
    <row r="135" spans="4:4">
      <c r="D135" s="79"/>
    </row>
    <row r="136" spans="4:4">
      <c r="D136" s="79"/>
    </row>
    <row r="137" spans="4:4">
      <c r="D137" s="79"/>
    </row>
    <row r="138" spans="4:4">
      <c r="D138" s="79"/>
    </row>
    <row r="139" spans="4:4">
      <c r="D139" s="79"/>
    </row>
    <row r="140" spans="4:4">
      <c r="D140" s="79"/>
    </row>
    <row r="141" spans="4:4">
      <c r="D141" s="79"/>
    </row>
    <row r="142" spans="4:4">
      <c r="D142" s="79"/>
    </row>
    <row r="143" spans="4:4">
      <c r="D143" s="79"/>
    </row>
    <row r="144" spans="4:4">
      <c r="D144" s="79"/>
    </row>
    <row r="145" spans="4:4">
      <c r="D145" s="79"/>
    </row>
    <row r="146" spans="4:4">
      <c r="D146" s="79"/>
    </row>
    <row r="147" spans="4:4">
      <c r="D147" s="79"/>
    </row>
    <row r="148" spans="4:4">
      <c r="D148" s="79"/>
    </row>
    <row r="149" spans="4:4">
      <c r="D149" s="79"/>
    </row>
    <row r="150" spans="4:4">
      <c r="D150" s="79"/>
    </row>
    <row r="151" spans="4:4">
      <c r="D151" s="79"/>
    </row>
    <row r="152" spans="4:4">
      <c r="D152" s="79"/>
    </row>
    <row r="153" spans="4:4">
      <c r="D153" s="79"/>
    </row>
    <row r="154" spans="4:4">
      <c r="D154" s="79"/>
    </row>
    <row r="155" spans="4:4">
      <c r="D155" s="79"/>
    </row>
    <row r="156" spans="4:4">
      <c r="D156" s="79"/>
    </row>
    <row r="157" spans="4:4">
      <c r="D157" s="79"/>
    </row>
    <row r="158" spans="4:4">
      <c r="D158" s="79"/>
    </row>
    <row r="159" spans="4:4">
      <c r="D159" s="79"/>
    </row>
    <row r="160" spans="4:4">
      <c r="D160" s="79"/>
    </row>
    <row r="161" spans="4:4">
      <c r="D161" s="79"/>
    </row>
    <row r="162" spans="4:4">
      <c r="D162" s="79"/>
    </row>
    <row r="163" spans="4:4">
      <c r="D163" s="79"/>
    </row>
    <row r="164" spans="4:4">
      <c r="D164" s="79"/>
    </row>
    <row r="165" spans="4:4">
      <c r="D165" s="79"/>
    </row>
    <row r="166" spans="4:4">
      <c r="D166" s="79"/>
    </row>
    <row r="167" spans="4:4">
      <c r="D167" s="79"/>
    </row>
    <row r="168" spans="4:4">
      <c r="D168" s="79"/>
    </row>
    <row r="169" spans="4:4">
      <c r="D169" s="79"/>
    </row>
    <row r="170" spans="4:4">
      <c r="D170" s="79"/>
    </row>
    <row r="171" spans="4:4">
      <c r="D171" s="79"/>
    </row>
    <row r="172" spans="4:4">
      <c r="D172" s="79"/>
    </row>
    <row r="173" spans="4:4">
      <c r="D173" s="79"/>
    </row>
    <row r="174" spans="4:4">
      <c r="D174" s="79"/>
    </row>
    <row r="175" spans="4:4">
      <c r="D175" s="79"/>
    </row>
    <row r="176" spans="4:4">
      <c r="D176" s="79"/>
    </row>
    <row r="177" spans="4:4">
      <c r="D177" s="79"/>
    </row>
    <row r="178" spans="4:4">
      <c r="D178" s="79"/>
    </row>
    <row r="179" spans="4:4">
      <c r="D179" s="79"/>
    </row>
    <row r="180" spans="4:4">
      <c r="D180" s="79"/>
    </row>
    <row r="181" spans="4:4">
      <c r="D181" s="79"/>
    </row>
    <row r="182" spans="4:4">
      <c r="D182" s="79"/>
    </row>
    <row r="183" spans="4:4">
      <c r="D183" s="79"/>
    </row>
    <row r="184" spans="4:4">
      <c r="D184" s="79"/>
    </row>
    <row r="185" spans="4:4">
      <c r="D185" s="79"/>
    </row>
    <row r="186" spans="4:4">
      <c r="D186" s="79"/>
    </row>
    <row r="187" spans="4:4">
      <c r="D187" s="79"/>
    </row>
    <row r="188" spans="4:4">
      <c r="D188" s="79"/>
    </row>
    <row r="189" spans="4:4">
      <c r="D189" s="79"/>
    </row>
    <row r="190" spans="4:4">
      <c r="D190" s="79"/>
    </row>
    <row r="191" spans="4:4">
      <c r="D191" s="79"/>
    </row>
    <row r="192" spans="4:4">
      <c r="D192" s="79"/>
    </row>
    <row r="193" spans="4:4">
      <c r="D193" s="79"/>
    </row>
    <row r="194" spans="4:4">
      <c r="D194" s="79"/>
    </row>
    <row r="195" spans="4:4">
      <c r="D195" s="79"/>
    </row>
    <row r="196" spans="4:4">
      <c r="D196" s="79"/>
    </row>
    <row r="197" spans="4:4">
      <c r="D197" s="79"/>
    </row>
    <row r="198" spans="4:4">
      <c r="D198" s="79"/>
    </row>
    <row r="199" spans="4:4">
      <c r="D199" s="79"/>
    </row>
    <row r="200" spans="4:4">
      <c r="D200" s="79"/>
    </row>
    <row r="201" spans="4:4">
      <c r="D201" s="79"/>
    </row>
    <row r="202" spans="4:4">
      <c r="D202" s="79"/>
    </row>
    <row r="203" spans="4:4">
      <c r="D203" s="79"/>
    </row>
    <row r="204" spans="4:4">
      <c r="D204" s="79"/>
    </row>
    <row r="205" spans="4:4">
      <c r="D205" s="79"/>
    </row>
    <row r="206" spans="4:4">
      <c r="D206" s="79"/>
    </row>
    <row r="207" spans="4:4">
      <c r="D207" s="79"/>
    </row>
    <row r="208" spans="4:4">
      <c r="D208" s="79"/>
    </row>
    <row r="209" spans="4:4">
      <c r="D209" s="79"/>
    </row>
    <row r="210" spans="4:4">
      <c r="D210" s="79"/>
    </row>
    <row r="211" spans="4:4">
      <c r="D211" s="79"/>
    </row>
    <row r="212" spans="4:4">
      <c r="D212" s="79"/>
    </row>
    <row r="213" spans="4:4">
      <c r="D213" s="79"/>
    </row>
    <row r="214" spans="4:4">
      <c r="D214" s="79"/>
    </row>
    <row r="215" spans="4:4">
      <c r="D215" s="79"/>
    </row>
    <row r="216" spans="4:4">
      <c r="D216" s="79"/>
    </row>
    <row r="217" spans="4:4">
      <c r="D217" s="79"/>
    </row>
    <row r="218" spans="4:4">
      <c r="D218" s="79"/>
    </row>
    <row r="219" spans="4:4">
      <c r="D219" s="79"/>
    </row>
    <row r="220" spans="4:4">
      <c r="D220" s="79"/>
    </row>
    <row r="221" spans="4:4">
      <c r="D221" s="79"/>
    </row>
    <row r="222" spans="4:4">
      <c r="D222" s="79"/>
    </row>
    <row r="223" spans="4:4">
      <c r="D223" s="79"/>
    </row>
    <row r="224" spans="4:4">
      <c r="D224" s="79"/>
    </row>
    <row r="225" spans="4:4">
      <c r="D225" s="79"/>
    </row>
    <row r="226" spans="4:4">
      <c r="D226" s="79"/>
    </row>
    <row r="227" spans="4:4">
      <c r="D227" s="79"/>
    </row>
    <row r="228" spans="4:4">
      <c r="D228" s="79"/>
    </row>
    <row r="229" spans="4:4">
      <c r="D229" s="79"/>
    </row>
    <row r="230" spans="4:4">
      <c r="D230" s="79"/>
    </row>
    <row r="231" spans="4:4">
      <c r="D231" s="79"/>
    </row>
    <row r="232" spans="4:4">
      <c r="D232" s="79"/>
    </row>
    <row r="233" spans="4:4">
      <c r="D233" s="79"/>
    </row>
    <row r="234" spans="4:4">
      <c r="D234" s="79"/>
    </row>
    <row r="235" spans="4:4">
      <c r="D235" s="79"/>
    </row>
    <row r="236" spans="4:4">
      <c r="D236" s="79"/>
    </row>
    <row r="237" spans="4:4">
      <c r="D237" s="79"/>
    </row>
    <row r="238" spans="4:4">
      <c r="D238" s="79"/>
    </row>
    <row r="239" spans="4:4">
      <c r="D239" s="79"/>
    </row>
    <row r="240" spans="4:4">
      <c r="D240" s="79"/>
    </row>
    <row r="241" spans="4:4">
      <c r="D241" s="79"/>
    </row>
    <row r="242" spans="4:4">
      <c r="D242" s="79"/>
    </row>
    <row r="243" spans="4:4">
      <c r="D243" s="79"/>
    </row>
    <row r="244" spans="4:4">
      <c r="D244" s="79"/>
    </row>
    <row r="245" spans="4:4">
      <c r="D245" s="79"/>
    </row>
    <row r="246" spans="4:4">
      <c r="D246" s="79"/>
    </row>
    <row r="247" spans="4:4">
      <c r="D247" s="79"/>
    </row>
    <row r="248" spans="4:4">
      <c r="D248" s="79"/>
    </row>
    <row r="249" spans="4:4">
      <c r="D249" s="79"/>
    </row>
    <row r="250" spans="4:4">
      <c r="D250" s="79"/>
    </row>
    <row r="251" spans="4:4">
      <c r="D251" s="79"/>
    </row>
    <row r="252" spans="4:4">
      <c r="D252" s="79"/>
    </row>
    <row r="253" spans="4:4">
      <c r="D253" s="79"/>
    </row>
    <row r="254" spans="4:4">
      <c r="D254" s="79"/>
    </row>
    <row r="255" spans="4:4">
      <c r="D255" s="79"/>
    </row>
    <row r="256" spans="4:4">
      <c r="D256" s="79"/>
    </row>
    <row r="257" spans="4:4">
      <c r="D257" s="79"/>
    </row>
    <row r="258" spans="4:4">
      <c r="D258" s="79"/>
    </row>
    <row r="259" spans="4:4">
      <c r="D259" s="79"/>
    </row>
    <row r="260" spans="4:4">
      <c r="D260" s="79"/>
    </row>
    <row r="261" spans="4:4">
      <c r="D261" s="79"/>
    </row>
    <row r="262" spans="4:4">
      <c r="D262" s="79"/>
    </row>
    <row r="263" spans="4:4">
      <c r="D263" s="79"/>
    </row>
    <row r="264" spans="4:4">
      <c r="D264" s="79"/>
    </row>
    <row r="265" spans="4:4">
      <c r="D265" s="79"/>
    </row>
    <row r="266" spans="4:4">
      <c r="D266" s="79"/>
    </row>
    <row r="267" spans="4:4">
      <c r="D267" s="79"/>
    </row>
    <row r="268" spans="4:4">
      <c r="D268" s="79"/>
    </row>
    <row r="269" spans="4:4">
      <c r="D269" s="79"/>
    </row>
    <row r="270" spans="4:4">
      <c r="D270" s="79"/>
    </row>
    <row r="271" spans="4:4">
      <c r="D271" s="79"/>
    </row>
    <row r="272" spans="4:4">
      <c r="D272" s="79"/>
    </row>
    <row r="273" spans="4:4">
      <c r="D273" s="79"/>
    </row>
    <row r="274" spans="4:4">
      <c r="D274" s="79"/>
    </row>
    <row r="275" spans="4:4">
      <c r="D275" s="79"/>
    </row>
    <row r="276" spans="4:4">
      <c r="D276" s="79"/>
    </row>
    <row r="277" spans="4:4">
      <c r="D277" s="79"/>
    </row>
    <row r="278" spans="4:4">
      <c r="D278" s="79"/>
    </row>
    <row r="279" spans="4:4">
      <c r="D279" s="79"/>
    </row>
    <row r="280" spans="4:4">
      <c r="D280" s="79"/>
    </row>
    <row r="281" spans="4:4">
      <c r="D281" s="79"/>
    </row>
    <row r="282" spans="4:4">
      <c r="D282" s="79"/>
    </row>
    <row r="283" spans="4:4">
      <c r="D283" s="79"/>
    </row>
    <row r="284" spans="4:4">
      <c r="D284" s="79"/>
    </row>
    <row r="285" spans="4:4">
      <c r="D285" s="79"/>
    </row>
    <row r="286" spans="4:4">
      <c r="D286" s="79"/>
    </row>
    <row r="287" spans="4:4">
      <c r="D287" s="79"/>
    </row>
    <row r="288" spans="4:4">
      <c r="D288" s="79"/>
    </row>
    <row r="289" spans="4:4">
      <c r="D289" s="79"/>
    </row>
    <row r="290" spans="4:4">
      <c r="D290" s="79"/>
    </row>
    <row r="291" spans="4:4">
      <c r="D291" s="79"/>
    </row>
    <row r="292" spans="4:4">
      <c r="D292" s="79"/>
    </row>
    <row r="293" spans="4:4">
      <c r="D293" s="79"/>
    </row>
    <row r="294" spans="4:4">
      <c r="D294" s="79"/>
    </row>
    <row r="295" spans="4:4">
      <c r="D295" s="79"/>
    </row>
    <row r="296" spans="4:4">
      <c r="D296" s="79"/>
    </row>
    <row r="297" spans="4:4">
      <c r="D297" s="79"/>
    </row>
    <row r="298" spans="4:4">
      <c r="D298" s="79"/>
    </row>
    <row r="299" spans="4:4">
      <c r="D299" s="79"/>
    </row>
  </sheetData>
  <sheetProtection algorithmName="SHA-512" hashValue="qmxqaG9RsKe3uH5bgSkfGDfcW93j2IZAnlNN56QjDMsXUelbaIEaKsfheXPT4+Gz3WhjgOEfkj77N9Wu/Q48yA==" saltValue="RPnCbqgJkkk8maDhtm37ag==" spinCount="100000" sheet="1" objects="1" scenarios="1" selectLockedCells="1"/>
  <scenarios current="0" show="0" sqref="F60">
    <scenario name="test" locked="1" count="3" user="Hariri" comment="Created by Hariri on 8/22/2016_x000a_Modified by Hariri on 8/22/2016">
      <inputCells r="D59" val="2" numFmtId="3"/>
      <inputCells r="C76" val="1"/>
      <inputCells r="C77" val="1"/>
    </scenario>
  </scenarios>
  <dataConsolidate/>
  <customSheetViews>
    <customSheetView guid="{0B2838C1-64E2-4766-B82E-FE301CB42C7D}" scale="115" showGridLines="0" topLeftCell="A53">
      <selection activeCell="D62" sqref="D62"/>
      <pageMargins left="0.7" right="0.7" top="0.75" bottom="0.75" header="0.3" footer="0.3"/>
      <pageSetup orientation="portrait" r:id="rId1"/>
    </customSheetView>
    <customSheetView guid="{ADB28B25-780E-4315-A7F7-F519CAE45D94}" scale="115" showPageBreaks="1" showGridLines="0" topLeftCell="A53">
      <selection activeCell="E63" sqref="E63"/>
      <pageMargins left="0.7" right="0.7" top="0.75" bottom="0.75" header="0.3" footer="0.3"/>
      <pageSetup orientation="portrait" r:id="rId2"/>
    </customSheetView>
  </customSheetViews>
  <mergeCells count="14">
    <mergeCell ref="A79:A83"/>
    <mergeCell ref="C24:D24"/>
    <mergeCell ref="C56:D56"/>
    <mergeCell ref="B72:E72"/>
    <mergeCell ref="A71:A77"/>
    <mergeCell ref="A24:A38"/>
    <mergeCell ref="A7:A22"/>
    <mergeCell ref="A56:A69"/>
    <mergeCell ref="C5:E5"/>
    <mergeCell ref="C4:E4"/>
    <mergeCell ref="C2:E2"/>
    <mergeCell ref="A2:A5"/>
    <mergeCell ref="C3:E3"/>
    <mergeCell ref="A40:A54"/>
  </mergeCells>
  <conditionalFormatting sqref="F64">
    <cfRule type="containsText" dxfId="93" priority="9" operator="containsText" text="Error">
      <formula>NOT(ISERROR(SEARCH("Error",F64)))</formula>
    </cfRule>
    <cfRule type="containsText" dxfId="92" priority="24" stopIfTrue="1" operator="containsText" text="Warning">
      <formula>NOT(ISERROR(SEARCH("Warning",F64)))</formula>
    </cfRule>
  </conditionalFormatting>
  <conditionalFormatting sqref="F30">
    <cfRule type="containsText" dxfId="91" priority="23" operator="containsText" text="Error">
      <formula>NOT(ISERROR(SEARCH("Error",F30)))</formula>
    </cfRule>
  </conditionalFormatting>
  <conditionalFormatting sqref="D11 F10">
    <cfRule type="expression" dxfId="90" priority="22">
      <formula>IF(Passengers_No.=1,Q&lt;100,IF(Passengers_No.=2,Q&lt;180,Q&lt; Passengers_No.*75))</formula>
    </cfRule>
  </conditionalFormatting>
  <conditionalFormatting sqref="D64">
    <cfRule type="cellIs" dxfId="89" priority="20" operator="greaterThan">
      <formula>r.*msr*nS/nc.</formula>
    </cfRule>
  </conditionalFormatting>
  <conditionalFormatting sqref="F41">
    <cfRule type="containsText" dxfId="88" priority="14" operator="containsText" text="Error">
      <formula>NOT(ISERROR(SEARCH("Error",F41)))</formula>
    </cfRule>
  </conditionalFormatting>
  <conditionalFormatting sqref="E15">
    <cfRule type="expression" dxfId="87" priority="13">
      <formula>OR(Atotal&gt;Amax,Atotal&lt;Amin)</formula>
    </cfRule>
  </conditionalFormatting>
  <conditionalFormatting sqref="F71">
    <cfRule type="containsText" dxfId="86" priority="12" stopIfTrue="1" operator="containsText" text="Error">
      <formula>NOT(ISERROR(SEARCH("Error",F71)))</formula>
    </cfRule>
  </conditionalFormatting>
  <conditionalFormatting sqref="F63">
    <cfRule type="containsText" dxfId="85" priority="10" stopIfTrue="1" operator="containsText" text="Warning">
      <formula>NOT(ISERROR(SEARCH("Warning",F63)))</formula>
    </cfRule>
  </conditionalFormatting>
  <conditionalFormatting sqref="F80">
    <cfRule type="containsText" dxfId="84" priority="7" operator="containsText" text="Error">
      <formula>NOT(ISERROR(SEARCH("Error",F80)))</formula>
    </cfRule>
    <cfRule type="containsText" dxfId="83" priority="8" stopIfTrue="1" operator="containsText" text="Warning">
      <formula>NOT(ISERROR(SEARCH("Warning",F80)))</formula>
    </cfRule>
  </conditionalFormatting>
  <conditionalFormatting sqref="F74:F77 F57">
    <cfRule type="containsText" dxfId="82" priority="6" operator="containsText" text="Warning">
      <formula>NOT(ISERROR(SEARCH("Warning",F57)))</formula>
    </cfRule>
    <cfRule type="containsText" dxfId="81" priority="25" operator="containsText" text="Error">
      <formula>NOT(ISERROR(SEARCH("Error",F57)))</formula>
    </cfRule>
  </conditionalFormatting>
  <conditionalFormatting sqref="F28:F29 F74:F77 F57">
    <cfRule type="containsText" dxfId="80" priority="5" operator="containsText" text="Not Ok">
      <formula>NOT(ISERROR(SEARCH("Not Ok",F28)))</formula>
    </cfRule>
  </conditionalFormatting>
  <conditionalFormatting sqref="F67:F68">
    <cfRule type="containsText" dxfId="79" priority="1" operator="containsText" text="Error">
      <formula>NOT(ISERROR(SEARCH("Error",F67)))</formula>
    </cfRule>
    <cfRule type="containsText" dxfId="78" priority="2" stopIfTrue="1" operator="containsText" text="Warning">
      <formula>NOT(ISERROR(SEARCH("Warning",F67)))</formula>
    </cfRule>
  </conditionalFormatting>
  <dataValidations xWindow="1091" yWindow="423" count="76">
    <dataValidation type="list" showInputMessage="1" showErrorMessage="1" errorTitle="خطا" error="این برنامه فقط برای آسانسورهای یک به یک و دو به یک کاربرد دارد." promptTitle="ضریب طناب بندی:" prompt="ضریب طناب بندی سیستم آویز (ضریب تعلیق) را از لیست وارد کنید._x000a_برای نسبت یک به یک، عدد 1 و برای نسبت دو به یک، عدد 2 را انتخاب کنید. " sqref="D59">
      <formula1>"1,2"</formula1>
    </dataValidation>
    <dataValidation type="list" showInputMessage="1" showErrorMessage="1" promptTitle="نوع کاربری آسانسور:" prompt=" نوع کاربری آسانسور را انتخاب کنید:_x000a_  مسافری، آسانسوری که عمدتا برای جابجایی مسافر طراحی شده؛_x000a_  باری- مسافری، آسانسوری که عمدتا برای جابجایی بار طراحی شده؛_x000a_  بارگیری با وسیله سنگین (لیفتراک)، در صورتیکه وزن وسیله بارگیری در بار نامی منظور نشده باشد." sqref="D7">
      <formula1>"مسافری,باری-مسافری,بارگیری با وسیله"</formula1>
    </dataValidation>
    <dataValidation allowBlank="1" promptTitle="تعيين تعداد طبقات" prompt="از ليست مقابل طبقات مورد نظر را وارد كنيد" sqref="C8"/>
    <dataValidation type="list" errorStyle="warning" showInputMessage="1" errorTitle="خطا" error="سزعت آسانسور بین 0.1 تا 10 متر بر ثانیه باید باشد." promptTitle="سرعت نامی کابین آسانسور:" prompt="سرعت کابین که آسانسور برای آن طراحی شده را بر حسب متر بر ثانیه وارد كنيد." sqref="D16">
      <formula1>"0.63,0.75,1,1.25,1.5,1.6,1.75, 2,2.5,3,3.5,4,5,6"</formula1>
    </dataValidation>
    <dataValidation type="whole" operator="notEqual" showErrorMessage="1" promptTitle="عمق چاهك" prompt="عمق چاهك را بر حسب سانتيمتر وارد كنيد" sqref="D21">
      <formula1>0</formula1>
    </dataValidation>
    <dataValidation type="whole" operator="notEqual" showErrorMessage="1" promptTitle="مقدار اورهد" prompt="مقدار اورهد را بر حسب سانتيمتر وارد كنيد" sqref="D20">
      <formula1>0</formula1>
    </dataValidation>
    <dataValidation type="list" showInputMessage="1" showErrorMessage="1" errorTitle="خطا" error=" نوع ترمز ایمنی (پاراشوت) را از لیست انتخاب کنید" promptTitle="نوع ترمز ايمني:" prompt="نوع پاراشوت (ترمز ايمني) استفاده شده برای کابین را از لیست انتخاب كنيد." sqref="D41">
      <formula1>"تدریجی,غلطکی, لحظه ای"</formula1>
    </dataValidation>
    <dataValidation type="decimal" showInputMessage="1" showErrorMessage="1" errorTitle="خطا" error="ضریب بالانس بین %40 تا %55 را وارد کنید." promptTitle="ضریب تعادل وزنه:" prompt="ضریب تعادل وزنه (ضریب بالانس) را بر حسب درصد وارد کنید. این مقدار میتواند بین %40 تا %55 باشد. _x000a__x000a_ضریب تعادل بالای %50 توصیه نمیشود چون هم باعث افزایش احتمال لیزخوردگی در حالت کابین خالی در بالاترین توقف شده و هم انرژی مصرفی آسانسور را افزایش میدهد." sqref="D45">
      <formula1>0.4</formula1>
      <formula2>0.55</formula2>
    </dataValidation>
    <dataValidation type="decimal" showInputMessage="1" showErrorMessage="1" errorTitle="خطا" error="زاویه پیچش باید عدد بر حسب درجه باشد." promptTitle="زاویه پیچش طنابها روی فلکه کشش:" prompt=" در صورتی که چیدمان فلکه ها غیر از شکل روبرو است (بیش از یک فلکه فاصله انداز دارد) با تیک زدن دستی، این زاویه را میتوانید بصورت دستی وارد کنید._x000a__x000a_برای محاسبه اتوماتیک زاویه پیچش مطابق شکل روبرو، تیک دستی را بردارید." sqref="D38">
      <formula1>0</formula1>
      <formula2>360</formula2>
    </dataValidation>
    <dataValidation type="list" showDropDown="1" showInputMessage="1" showErrorMessage="1" sqref="D63">
      <formula1>"دارد,ندارد"</formula1>
    </dataValidation>
    <dataValidation type="list" operator="greaterThanOrEqual" showInputMessage="1" errorTitle="خطا" error="حداقل ظرفیت بار نامی= تعداد مسافر * 75 کیلوگرم" promptTitle="ظرفیت بار نامی:" prompt="حداکثر بار نامی مجاز برای حمل با این آسانسور را بر حسب کیلوگرم وارد کنید. این مقدار باید حداقل معادل تعداد مسافرین ضربدر 75 کیلوگرم باشد._x000a_این مقدار، حداکثر مساحت مجاز داخل کابین را تعیین میکند." sqref="D11">
      <formula1>"320,450,630,800,1000,1275,1350,1600,,1800,2000,2500,3000"</formula1>
    </dataValidation>
    <dataValidation type="list" showErrorMessage="1" promptTitle="مقدار اورهد" prompt="مقدار اورهد را بر حسب سانتيمتر وارد كنيد" sqref="D17">
      <formula1>Door_width</formula1>
    </dataValidation>
    <dataValidation type="list" allowBlank="1" showInputMessage="1" showErrorMessage="1" promptTitle="تعداد فلکه متحرک وزنه:" prompt="تعداد فلکه هرزگرد متحرک متصل به وزنه تعادل را وارد کنید._x000a__x000a_در سیستم یک به یک، هیچ فلکه متحرکی روی وزنه استفاده نمیشود و این تعداد باید صفر وارد شود" sqref="C77">
      <formula1>"0,1,2"</formula1>
    </dataValidation>
    <dataValidation type="whole" showInputMessage="1" showErrorMessage="1" promptTitle="قطر فلكه کشش موتور:" prompt="قطر فلكه کشش موتور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sqref="D28">
      <formula1>180</formula1>
      <formula2>1000</formula2>
    </dataValidation>
    <dataValidation type="list" allowBlank="1" showInputMessage="1" showErrorMessage="1" sqref="E75:E77">
      <formula1>" چدنی, پلیمری"</formula1>
    </dataValidation>
    <dataValidation type="list" showInputMessage="1" showErrorMessage="1" errorTitle="خطا" error="تعداد کابل متحرک از یک تا سه عدد است." promptTitle="تعداد کابل متحرک:" prompt="تعداد کابل متحرک (تراول کابل) استفاده شده را وارد کنید." sqref="D60">
      <formula1>"1,2,3"</formula1>
    </dataValidation>
    <dataValidation type="whole" showInputMessage="1" showErrorMessage="1" errorTitle="خطا" error="تعداد طبقات بین باید 2 تا 100 طبقه باشد." promptTitle="تعداد ایستگاه ها:" prompt="تعداد ایستگاه ها را مشخص کنید._x000a_ارتفاع مسیر حرکت بر حسب این تعداد طبقات، با فرض متوسط ارتفاع 3.2 متر برای هر طبقه، محاسبه میشود ولی بعد میتوان طول مسیر را اضافه یا کم نمود." sqref="D8">
      <formula1>2</formula1>
      <formula2>100</formula2>
    </dataValidation>
    <dataValidation type="decimal" errorStyle="warning" operator="greaterThanOrEqual" showInputMessage="1" showErrorMessage="1" errorTitle="توجه" error="طول مسیر با توجه به تعداد طیقات کم بنظر میرسد. آیا مطمین هستید؟" promptTitle="طول مسیر حرکت:" prompt="ارتفاع مسیر حرکت را تعیین کنید._x000a_این طول، فاصله عمودی آستانه پایین ترین ایستگاه تا آستانه بالاترین ایستگاه برحسب متر میباشد." sqref="D9">
      <formula1>(D8-1)*3</formula1>
    </dataValidation>
    <dataValidation type="whole" operator="greaterThan" showInputMessage="1" showErrorMessage="1" errorTitle="خطا" error="تعداد مسافرین باید عددی صحیح بزرگتر از صفر باشد." promptTitle="تعداد مسافرین:" prompt="حداکثر تعداد مسافر مجاز برای حمل با این آسانسور را وارد کنید._x000a__x000a_این مقدار، حداقل مساحت مجاز داخل کابین را تعیین میکند." sqref="D10">
      <formula1>0</formula1>
    </dataValidation>
    <dataValidation type="whole" showInputMessage="1" showErrorMessage="1" promptTitle="جرم کابین و متعلقات:" prompt="جرم کابین خالی (بدون بار) و کلیه اجزایی که به آن متصل است شامل جرم های یوک و اجزا، در(های) کابین و دیگر قطعاتی که جرمشان همواره با کابین همراه است را بر حسب کیلوگرم وارد کنید." sqref="D12">
      <formula1>100</formula1>
      <formula2>10000</formula2>
    </dataValidation>
    <dataValidation type="whole" showErrorMessage="1" errorTitle="خطا" error="عمق آستانه کابین جلوی در بین 10 تا 150 میلی متر باید باشد." promptTitle="مقدار اورهد" prompt="مقدار اورهد را بر حسب سانتيمتر وارد كنيد" sqref="D19">
      <formula1>10</formula1>
      <formula2>150</formula2>
    </dataValidation>
    <dataValidation type="decimal" showInputMessage="1" showErrorMessage="1" promptTitle="توان خروجی موتور:" prompt="از روی پلاک مشخصات موتور، توان نامی خروجی موتور را برحسب کیلووات وارد کنید." sqref="D25">
      <formula1>1</formula1>
      <formula2>100</formula2>
    </dataValidation>
    <dataValidation type="whole" showInputMessage="1" showErrorMessage="1" promptTitle="جرم سیستم محرکه:" prompt="مجموع جرم سیستم محرکه شامل موتور (گیربکس یا گیرلس)، پولی های فاصله انداز و پایه موتور را بر حسب کیلوگرم وارد کنید._x000a_این مقدار صرفا جهت تعیین بار وارد بر سقف چاه (دال بتنی) کاربرد دارد و در محاسبات دیگر تاثیری ندارد." sqref="D27">
      <formula1>1</formula1>
      <formula2>1500</formula2>
    </dataValidation>
    <dataValidation type="list" showDropDown="1" showInputMessage="1" showErrorMessage="1" sqref="D31">
      <formula1>"V, V hardened, u"</formula1>
    </dataValidation>
    <dataValidation type="decimal" showInputMessage="1" showErrorMessage="1" errorTitle="خطا" error="درصد راندمان بین 40 تا 100 درصد میتواند باشد." promptTitle="راندمان گیربکس" prompt="راندمان گیربکس سیستم محرکه را بر حسب درصد وارد کنید._x000a_برای موتورهای بدون گیربکس این مقدار را %100 بگذارید." sqref="D34">
      <formula1>0.4</formula1>
      <formula2>1</formula2>
    </dataValidation>
    <dataValidation type="whole" operator="greaterThan" showInputMessage="1" showErrorMessage="1" promptTitle="فاصله افقی بکسلهای کابین و وزنه:" prompt="فاصله افقی بین بکسلهای کابین و وزنه (مطابق شکل روبرو) را بر حسب میلیمتر وارد کنید تا زاویه آلفا بر اساس آن محاسبه شود._x000a__x000a_اگر در موتورخانه بیش از یک فلکه (فلکه معکوس) استفاده شده، تیک دستی را فعال نموده و زاویه پیچش را بصورت دستی وارد کنید." sqref="D35">
      <formula1>0</formula1>
    </dataValidation>
    <dataValidation type="list" showInputMessage="1" showErrorMessage="1" errorTitle="خطا" error="تعداد ریل، 2 یا 4 را وارد کنید." promptTitle="تعداد ریل کابین:" prompt="تعداد ستون ریل نصب شده برای کابین که دارای پاراشوت میباشند را وارد کنید. این تعداد 2 یا 4 میتواند باشد." sqref="D44">
      <formula1>"2,4"</formula1>
    </dataValidation>
    <dataValidation type="decimal" operator="greaterThanOrEqual" showInputMessage="1" showErrorMessage="1" promptTitle="جرم وسیله تأمین کشش:" prompt="جرم وسیله تأمین کشش شامل مجموع جرم فلکه‌ها و وزنه آنها را بر حسب کیلوگرم وارد کنید._x000a__x000a_در صورت عدم استفاده از سیم بکسل برای جبران، این مقدار را صفر بگذارید." sqref="D66">
      <formula1>0</formula1>
    </dataValidation>
    <dataValidation type="list" showInputMessage="1" showErrorMessage="1" errorTitle="خطا" error="شتاب ناشی از توقف اضطراری کابین بین 0.5 تا 1.2 متر بر مجذور ثانیه است." promptTitle="شتاب ناشی از توقف اضطراری:" prompt="شتاب ناشی از توقف اضطراری کابین (در اثر قطع ناگهانی برق یا قطع سری ایمنی در هنگام حرکت عادی) را بر حسب متر بر مجذور ثانیه وارد کنید._x000a__x000a_این مقدار باید m/s2 0.5 یا بیشتر باشد و در صورت استفاده از بافر کاهش یافته m/s2 0.8 یا بیشتر باشد." sqref="D69">
      <formula1>"0.5,0.6,0.7,0.8,0.9,1,1.1,1.2"</formula1>
    </dataValidation>
    <dataValidation type="list" showInputMessage="1" showErrorMessage="1" promptTitle="تعداد فلکه‌های با خم معکوس:" prompt="تعداد فلکه های هرزگرد (از فلکه های زیر) که دارای خم معکوس هستند را وارد کنید_x000a_خم معکوس خمی است که: _x000a_1- جهت خم عکس خم قبلی است_x000a_2- فاصله بین دو خم کمتر از 200 برابر قطر سیم بکسل است_x000a_3- نسبت به خم قبلی ثابت است" sqref="D71">
      <formula1>"0,1,2,3,4,5,6"</formula1>
    </dataValidation>
    <dataValidation type="whole" showInputMessage="1" showErrorMessage="1" promptTitle="بار استاتیکی مجاز روی فلکه کشش:" prompt="از روی کاتالوگ سازنده، حداکثر بار استاتیکی مجاز بر روی فلکه کشش را بر حسب کیلوگرم وارد کنید." sqref="D26">
      <formula1>100</formula1>
      <formula2>15000</formula2>
    </dataValidation>
    <dataValidation type="list" operator="greaterThan" showInputMessage="1" showErrorMessage="1" errorTitle="خطا" error="باید فقط عدد 1 (پیچش نکی) یا 2 (پیچش دوبل) را انتخاب کنید" promptTitle="تعداد پیچش طناب ها روی فلکه کشش:" prompt="تعداد دفعات پیچش طناب ها روی فلکه کشش و فلکه فاصله انداز را وارد کنید:_x000a_ single wrap= 1 (پیچش تکی)_x000a_ double wrap= 2 (پیچش دوبل)" sqref="D37">
      <formula1>"1,2"</formula1>
    </dataValidation>
    <dataValidation type="list" operator="greaterThanOrEqual" showInputMessage="1" showErrorMessage="1" errorTitle="خطا" error="تعداد زنجیر/ طناب جبران بین 1 تا 10  میتواند باشد." promptTitle="تعداد طناب/ زنجیر جبران:" prompt="تعداد سیم بکسل/زنجیر استفاده شده برای جبران وزن سیم بکسل تعلیق را وارد کنید و در صورت عدم استفاده از سیم بکسل/زنجیر جبران، آن را صفر بگذارید._x000a__x000a_برای جبران %100 در سیستم 2:1، مجموع جرم در واحد طول زنجیرهای جبران باید دو برابر سیم بکسل‌های تعلیق باشد._x000a_" sqref="D62">
      <formula1>"0,1,2,3,4,5,6,7,8,9,10"</formula1>
    </dataValidation>
    <dataValidation type="list" operator="greaterThanOrEqual" showInputMessage="1" promptTitle="جرم واحد طول طناب/ زنجیر جبران:" prompt="جرم هر متر یک سیم بکسل/ زنجیر استفاده شده را بر حسب کیلوگرم وارد کنید._x000a__x000a_درصد واقعی جبران با این مقدار جرم و این تعداد، برای مقایسه در سمت چپ داده میشود._x000a_برای محاسبه جرم مورد نیاز با توجه به تعداد آن، درصد جبران مورد نظر را از لیست سمت راست انتخاب کنید." sqref="D64">
      <formula1>"0.5,0.8,1,1.2,1.5,1.8,2.2,3,3.2,4.2"</formula1>
    </dataValidation>
    <dataValidation allowBlank="1" showInputMessage="1" showErrorMessage="1" prompt="تست" sqref="F63:F64 F80 F67:F68"/>
    <dataValidation allowBlank="1" showInputMessage="1" showErrorMessage="1" promptTitle="توجه:" prompt=" برای جبران جرم سیم بکسلهای تعلیق، درصد جبران مورد نیاز را وارد کنید تا مجموع جرم مورد نیاز برای این درصد جبران پیشنهاد داده شود. _x000a__x000a_ این مقدار فقط بعنوان راهنما و پیشنهاد است و جرم واقعی هر متر زنجیر جبران باید در ردیف بعد پر شود." sqref="G63"/>
    <dataValidation type="whole" operator="greaterThan" allowBlank="1" showInputMessage="1" showErrorMessage="1" promptTitle="فاصله عمودی بین فلکه‌ها:" prompt="فاصله عمودی بین مرکز فلکه کشش تا فلکه فاصله انداز (مطابق شکل روبرو) را بر حسب میلیمتر وارد کنید تا زاویه آلفا بر اساس آن محاسبه شود._x000a__x000a_اگر در موتورخانه بیش از یک فلکه (فلکه معکوس) استفاده شده، تیک دستی را فعال نموده و زاویه پیچش را بصورت دستی وارد کنید." sqref="D36">
      <formula1>0</formula1>
    </dataValidation>
    <dataValidation type="list" allowBlank="1" showInputMessage="1" sqref="C4:E4">
      <formula1>InsCoName</formula1>
    </dataValidation>
    <dataValidation type="list" showErrorMessage="1" promptTitle="مقدار اورهد" prompt="مقدار اورهد را بر حسب سانتيمتر وارد كنيد" sqref="D18">
      <formula1>Door_Types</formula1>
    </dataValidation>
    <dataValidation showInputMessage="1" promptTitle="نام سازنده/ نوع موتور آسانسور:" prompt="نام سازنده و نوع موتور را مشخص كنيد. این ورودی در محاسبات هیچ تاثیری ندارد و صرفا جنبه اطلاعاتی دارد." sqref="C24:D24"/>
    <dataValidation type="whole" showInputMessage="1" showErrorMessage="1" promptTitle="فاصله مرکز جرم کابین در جهت X:" prompt="فاصله مرکز جرم کابین و متعلقات آن (شامل یوک، پاراشوت و ..) از مرکز ریل‌های کابین در جهت X (عمود بر تیغه ریل کابین، مطابق شکل روبرو) را بر حسب میلیمتر وارد کنید._x000a__x000a_این فاصله بر اساس خوداظهاری عرضه کننده/سازنده آسانسور می باشد." sqref="D49">
      <formula1>-DX</formula1>
      <formula2>DX</formula2>
    </dataValidation>
    <dataValidation type="whole" operator="greaterThanOrEqual" showInputMessage="1" showErrorMessage="1" promptTitle="نیروی تجهیزات جانبی روی ریل:" prompt="حداکثر نیروی استاتیکی ناشی از بارهای تجیزات جانبی بر روی ریل کابین (در صورت نصب موتور، سیم بکسل و.. بر روی ریل) را بر حسب نیوتن وارد کنید." sqref="D46">
      <formula1>0</formula1>
    </dataValidation>
    <dataValidation type="decimal" showInputMessage="1" showErrorMessage="1" errorTitle="هشدار" error="نیروی اصطکاک سمت کابین بیش از 6% بار نامتعادل نمی‌باشد." promptTitle="نیروی اصطکاک سمت کابین:" prompt="نیروی ناشی از اصطکاک سمت کابین (بین کقشک‌های کابین و ریل) را بر حسب نیوتن وارد کنید. این نیرو بیش از 6% بار نامتعادل نمی‌باشد._x000a__x000a_در صورتیکه مقدار این نیرو را نمیدانید برای اطمینان آن را صفر بگذارید." sqref="D67">
      <formula1>0</formula1>
      <formula2>(1-ηs)*(1-q.)*Q*0.6*9.8</formula2>
    </dataValidation>
    <dataValidation type="decimal" showInputMessage="1" showErrorMessage="1" errorTitle="هشدار" error="نیروی اصطکاک سمت کابین در چاه بیش از 3% بار نامتعادل نمیتواند باشد." promptTitle="نیروی اصطکاک سمت وزنه در چاه:" prompt="نیروی اصطکاک سمت وزنه تعادل (بین کفشک‌های وزنه تعادل و ریل آن) را برحسب نیوتن وارد کنید. این نیرو بیش از 3% بار نامتعادل نمی‌باشد_x000a__x000a_در صورتیکه مقدار این نیرو را نمیدانید برای اطمینان آن را صفر بگذارید." sqref="D68">
      <formula1>0</formula1>
      <formula2>(1-ηs)*(1-q.)*Q*0.3*9.8</formula2>
    </dataValidation>
    <dataValidation type="list" showInputMessage="1" showErrorMessage="1" errorTitle="خطا" error="قطر سیم بکسل از روی لیست انتخاب کنید" promptTitle="قطر نامی سیم بکسل:" prompt="قطر نامی سیم بکسل را بر حسب میلیمتر وارد کنید._x000a__x000a_در صورتی‌که قطر سیم بکسل کمتر از 8 میلیمتر است یا نسبت قطر فلکه(ها) به قطر سیم بکسل کمتر از 40 است، محاسبات برای تایید باید همراه با گواهینامه‌ها و مدارک فنی سیم بکسل به کمیته فنی ارجاع داده شود." sqref="D57">
      <formula1>RopeDia</formula1>
    </dataValidation>
    <dataValidation showInputMessage="1" showErrorMessage="1" sqref="F8 F10"/>
    <dataValidation type="whole" operator="greaterThan" showInputMessage="1" showErrorMessage="1" errorTitle="خطا" error="مقدار قاصله بین براکتها بر حسب میلیمتر را وارد کنید." promptTitle="بیشترین فاصله بین دو براکت:" prompt="بیشترین فاصله عمودی بین دو براکت متوالی ریل‌های کابین را بر حسب میلیمتر وارد کنید." sqref="D42">
      <formula1>0</formula1>
    </dataValidation>
    <dataValidation type="whole" operator="greaterThan" showInputMessage="1" showErrorMessage="1" errorTitle="خطا" error="مقدار قاصله بین کفشکها بر حسب میلیمتر را وارد کنید." promptTitle="فاصله عمودی بین کفشکهای کابین:" prompt="فاصله عمودی بین کفشکهای راهنمای بالا و پایین کابین را بر حسب میلیمتر وارد کنید." sqref="D43">
      <formula1>0</formula1>
    </dataValidation>
    <dataValidation type="decimal" operator="greaterThanOrEqual" showInputMessage="1" showErrorMessage="1" errorTitle="خطا" error="جرم هر متر کابل متحرک را بر حسب کیلوگرم وارد کنید." promptTitle="جرم واحد طول کابل متحرک:" prompt="جرم هر متر یک کابل متحرک (تراول کابل) را بر حسب کیلوگرم وارد کنید." sqref="D61">
      <formula1>0</formula1>
    </dataValidation>
    <dataValidation type="list" showInputMessage="1" showErrorMessage="1" sqref="E74">
      <formula1>" چدنی, پلیمری"</formula1>
    </dataValidation>
    <dataValidation type="whole" operator="greaterThan" showInputMessage="1" showErrorMessage="1" promptTitle="عمق داخل کابین:" prompt="عمق داخل کابین را بر حسب میلیمتر وارد کنید." sqref="D13">
      <formula1>0</formula1>
    </dataValidation>
    <dataValidation type="whole" operator="greaterThan" showInputMessage="1" showErrorMessage="1" promptTitle="عرض داخل کابین:" prompt="عرض داخل کابین را بر حسب میلیمتر وارد کنید." sqref="D14">
      <formula1>0</formula1>
    </dataValidation>
    <dataValidation type="decimal" operator="greaterThanOrEqual" showInputMessage="1" showErrorMessage="1" promptTitle="جمع مساحت مفید داخل کابین:" prompt="در آسانسورهایی که کابین آن مستطیل شکل نیست، بصورت دستی مجموع مساحت مفید داخل کابین شامل مساحت داخل کابین، جلوی آستانه در(ها) و فرورفتگی لته(های) کندرو (در صورت وجود) را محاسبه و وارد کنید._x000a_در غیر این صورت تیک دستی را بردارید تا بصورت خودکار محاسبه شود." sqref="D15">
      <formula1>0</formula1>
    </dataValidation>
    <dataValidation type="whole" showInputMessage="1" showErrorMessage="1" promptTitle="فاصله مرکز جرم کابین در جهت Y:" prompt="فاصله مرکز جرم کابین و متعلقات آن (شامل یوک، پاراشوت و ..) از مرکز ریل‌های کابین در جهت Y (موازی با تیغه ریل کابین، مطابق شکل روبرو) را بر حسب میلیمتر وارد کنید._x000a__x000a_این فاصله بر اساس خوداظهاری عرضه کننده/سازنده آسانسور می باشد." sqref="D50">
      <formula1>-DY</formula1>
      <formula2>DY</formula2>
    </dataValidation>
    <dataValidation type="whole" showInputMessage="1" showErrorMessage="1" promptTitle="فاصله مرکز کابین در جهت X:" prompt="فاصله مرکز سطح داخل کابین (محل برخورد اقطار مستطیل کف، در کابین مستطیل شکل) از مرکز ریل‌های کابین در جهت X (عمود بر تیغه ریل کابین، مطابق شکل روبرو) را بر حسب میلیمتر وارد کنید." sqref="D47">
      <formula1>-DX</formula1>
      <formula2>DX</formula2>
    </dataValidation>
    <dataValidation type="whole" showInputMessage="1" showErrorMessage="1" promptTitle="فاصله مرکز کابین در جهت Y:" prompt="فاصله مرکز سطح داخل کابین (محل برخورد اقطار مستطیل کف، در کابین مستطیل شکل)  از مرکز ریل‌های کابین در جهت Y (موازی با تیغه ریل کابین، مطابق شکل روبرو) را بر حسب میلیمتر وارد کنید." sqref="D48">
      <formula1>-DY</formula1>
      <formula2>DY</formula2>
    </dataValidation>
    <dataValidation type="whole" showInputMessage="1" showErrorMessage="1" promptTitle="فاصله مرکز آویز در جهت X:" prompt="فاصله مرکز آویز (مرکز اتصال سیم بکسلها به کابین) از مرکز ریل‌های کابین در جهت X مطابق شکل روبرو را بر حسب میلیمتر وارد کنید." sqref="D51">
      <formula1>-DX-500</formula1>
      <formula2>DX+500</formula2>
    </dataValidation>
    <dataValidation type="whole" showInputMessage="1" showErrorMessage="1" promptTitle="فاصله مرکز آویز در جهت Y:" prompt="فاصله مرکز آویز (مرکز اتصال سیم بکسلها به کابین) از مرکز ریل‌های کابین در جهت Y مطابق شکل روبرو را بر حسب میلیمتر وارد کنید." sqref="D52">
      <formula1>-DY-500</formula1>
      <formula2>DY+500</formula2>
    </dataValidation>
    <dataValidation type="whole" showInputMessage="1" showErrorMessage="1" promptTitle="فاصله مرکز آستانه در، در جهت X:" prompt="فاصله مرکز آستانه در از مرکز ریل‌های کابین در جهت X مطابق شکل روبرو را بر حسب میلیمتر وارد کنید._x000a__x000a_اگر کابین بیش از یک در ورودی دارد، باید بازای هر در، یک بار X و Y آن وارد شده و محاسبات ریل هنگام بارگیری از آن در، انجام شود، بدترین حالت بارگذاری ملاک است." sqref="D53">
      <formula1>-DX-500</formula1>
      <formula2>DX+500</formula2>
    </dataValidation>
    <dataValidation type="whole" showInputMessage="1" showErrorMessage="1" promptTitle="فاصله مرکز آستانه در، در جهت Y:" prompt="فاصله مرکز آستانه در از مرکز ریل‌های کابین در جهت Y مطابق شکل روبرو را بر حسب میلیمتر وارد کنید._x000a__x000a_اگر کابین بیش از یک در ورودی دارد، باید بازای هر در، یک بار X و Y آن وارد شده و محاسبات ریل هنگام بارگیری از آن در، انجام شود، بدترین حالت بارگذاری ملاک است." sqref="D54">
      <formula1>-DY-500</formula1>
      <formula2>DY+500</formula2>
    </dataValidation>
    <dataValidation type="decimal" operator="greaterThanOrEqual" showInputMessage="1" showErrorMessage="1" promptTitle="جرم کاهش‌یافته فلکه‌ی کشش جبران:" prompt="در صورت استفاده از سیم بکسل برای جبران، مجموع جرم کاهش‌یافته فلکه‌(ها)ی کشش آن را بر حسب کیلوگرم وارد کنید._x000a__x000a_در صورت عدم استفاده از سیم بکسل برای جبران، این مقدار را صفر بگذارید." sqref="D65">
      <formula1>0</formula1>
    </dataValidation>
    <dataValidation type="list" allowBlank="1" showInputMessage="1" showErrorMessage="1" promptTitle="تعداد فلکه فاصله انداز سمت کابین" prompt="تعداد فلکه فاصله انداز ثابت استفاده شده در سمت کابین را وارد کنید._x000a__x000a_برای محاسبه زاویه پیچش (زاویه آلفا) بصورت اتوماتیک مطابق شکل بالا، جمعا فقط یک فلکه هرزگرد ثابت (در سمت کابین یا وزنه) در موتورخانه باید استفاده شود._x000a_" sqref="C74">
      <formula1>"0,1,2"</formula1>
    </dataValidation>
    <dataValidation type="list" allowBlank="1" showInputMessage="1" showErrorMessage="1" promptTitle="تعداد فلکه فاصله انداز سمت وزنه:" prompt="تعداد فلکه فاصله انداز ثابت استفاده شده در سمت وزنه را وارد کنید._x000a__x000a_برای محاسبه زاویه پیچش (زاویه آلفا) بصورت اتوماتیک مطابق شکل بالا، جمعا فقط یک فلکه هرزگرد ثابت (در سمت کابین یا وزنه) در موتورخانه باید استفاده شود." sqref="C75">
      <formula1>"0,1,2"</formula1>
    </dataValidation>
    <dataValidation type="list" allowBlank="1" showInputMessage="1" showErrorMessage="1" promptTitle="تعداد فلکه متحرک متصل به کابین:" prompt="تعداد فلکه هرزگرد متصل به بالا یا زیر کابین را وارد کنید._x000a__x000a_در سیستم یک به یک، هیچ فلکه متحرکی روی کابین استفاده نمیشود و این تعداد باید صفر وارد شود." sqref="C76">
      <formula1>"0,1,2"</formula1>
    </dataValidation>
    <dataValidation type="list" allowBlank="1" showInputMessage="1" showErrorMessage="1" promptTitle="عرض بازشوی درِ جلو (در اول):"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0">
      <formula1>Door_width</formula1>
    </dataValidation>
    <dataValidation type="list" allowBlank="1" showInputMessage="1" showErrorMessage="1" promptTitle="عرض بازشوی درِ سمت راست:"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1">
      <formula1>Door_width</formula1>
    </dataValidation>
    <dataValidation type="list" allowBlank="1" showInputMessage="1" showErrorMessage="1" promptTitle="عرض بازشوی درِ عقب:"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2">
      <formula1>Door_width</formula1>
    </dataValidation>
    <dataValidation type="list" allowBlank="1" showInputMessage="1" showErrorMessage="1" promptTitle="عرض بازشوی درِ سمت چپ:"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3">
      <formula1>Door_width</formula1>
    </dataValidation>
    <dataValidation type="list" showInputMessage="1" showErrorMessage="1" errorTitle="خطا" error="فقط از انواع داخل لیست استفاده کنید" promptTitle="نوع بازشوی در جلو:" prompt="نوع بازشوی این در کابین را از روی لیست انتخاب کنید." sqref="D80">
      <formula1>Door_Types</formula1>
    </dataValidation>
    <dataValidation type="list" showInputMessage="1" showErrorMessage="1" errorTitle="خطا" error="فقط از انواع داخل لیست استفاده کنید" promptTitle="نوع بازشوی در سمت راست:" prompt="نوع بازشوی این در کابین را از روی لیست انتخاب کنید." sqref="D81">
      <formula1>Door_Types</formula1>
    </dataValidation>
    <dataValidation type="list" showInputMessage="1" showErrorMessage="1" errorTitle="خطا" error="فقط از انواع داخل لیست استفاده کنید" promptTitle="نوع بازشوی در عقب:" prompt="نوع بازشوی این در کابین را از روی لیست انتخاب کنید." sqref="D82">
      <formula1>Door_Types</formula1>
    </dataValidation>
    <dataValidation type="list" showInputMessage="1" showErrorMessage="1" errorTitle="خطا" error="فقط از انواع داخل لیست استفاده کنید" promptTitle="نوع بازشوی در سمت چپ:" prompt="نوع بازشوی این در کابین را از روی لیست انتخاب کنید." sqref="D83">
      <formula1>Door_Types</formula1>
    </dataValidation>
    <dataValidation type="whole" showInputMessage="1" showErrorMessage="1" errorTitle="خطا" error="عمق آستانه جلوی در بین 10 تا 150 میلیمتر میتواند باشد" promptTitle="عمق آستانه جلوی در جلو:" prompt="عمق آستانه جلوی این در کابین را بر حسب میلیمتر وارد کنید." sqref="E80">
      <formula1>10</formula1>
      <formula2>150</formula2>
    </dataValidation>
    <dataValidation type="whole" showInputMessage="1" showErrorMessage="1" errorTitle="خطا" error="عمق آستانه جلوی در بین 10 تا 150 میلیمتر میتواند باشد" promptTitle="عمق آستانه جلوی در سمت راست:" prompt="عمق آستانه جلوی این در کابین را بر حسب میلیمتر وارد کنید." sqref="E81">
      <formula1>10</formula1>
      <formula2>150</formula2>
    </dataValidation>
    <dataValidation type="whole" showInputMessage="1" showErrorMessage="1" errorTitle="خطا" error="عمق آستانه جلوی در بین 10 تا 150 میلیمتر میتواند باشد" promptTitle="عمق آستانه جلوی در عقب:" prompt="عمق آستانه جلوی این در کابین را بر حسب میلیمتر وارد کنید." sqref="E82">
      <formula1>10</formula1>
      <formula2>150</formula2>
    </dataValidation>
    <dataValidation type="whole" showInputMessage="1" showErrorMessage="1" errorTitle="خطا" error="عمق آستانه جلوی در بین 10 تا 150 میلیمتر میتواند باشد" promptTitle="عمق آستانه جلوی در سمت چپ:" prompt="عمق آستانه جلوی این در کابین را بر حسب میلیمتر وارد کنید." sqref="E83">
      <formula1>10</formula1>
      <formula2>150</formula2>
    </dataValidation>
  </dataValidations>
  <pageMargins left="0.23622047244094491" right="0.23622047244094491" top="0.74803149606299213" bottom="0.74803149606299213" header="0.31496062992125984" footer="0.31496062992125984"/>
  <pageSetup paperSize="9" scale="90" fitToHeight="2" orientation="portrait" r:id="rId3"/>
  <rowBreaks count="1" manualBreakCount="1">
    <brk id="39" max="4" man="1"/>
  </rowBreaks>
  <cellWatches>
    <cellWatch r="D62"/>
  </cellWatches>
  <drawing r:id="rId4"/>
  <mc:AlternateContent xmlns:mc="http://schemas.openxmlformats.org/markup-compatibility/2006">
    <mc:Choice Requires="v">
      <legacyDrawing r:id="rId5"/>
    </mc:Choice>
  </mc:AlternateContent>
  <controls>
    <control shapeId="1188" r:id="rId6" name="ImageAlpha">
      <controlPr defaultSize="0" disabled="1" autoLine="0" autoPict="0" r:id="rId7">
        <anchor moveWithCells="1">
          <from>
            <xdr:col>0</xdr:col>
            <xdr:colOff>-70542150</xdr:colOff>
            <xdr:row>29</xdr:row>
            <xdr:rowOff>171450</xdr:rowOff>
          </from>
          <to>
            <xdr:col>0</xdr:col>
            <xdr:colOff>-67370325</xdr:colOff>
            <xdr:row>39</xdr:row>
            <xdr:rowOff>95250</xdr:rowOff>
          </to>
        </anchor>
      </controlPr>
    </control>
    <control shapeId="1189" r:id="rId8" name="TextBoxDt">
      <controlPr defaultSize="0" disabled="1" autoLine="0" linkedCell="Dt" r:id="rId9">
        <anchor moveWithCells="1">
          <from>
            <xdr:col>0</xdr:col>
            <xdr:colOff>0</xdr:colOff>
            <xdr:row>29</xdr:row>
            <xdr:rowOff>190500</xdr:rowOff>
          </from>
          <to>
            <xdr:col>77</xdr:col>
            <xdr:colOff>723900</xdr:colOff>
            <xdr:row>30</xdr:row>
            <xdr:rowOff>133350</xdr:rowOff>
          </to>
        </anchor>
      </controlPr>
    </control>
    <control shapeId="1190" r:id="rId10" name="TextBoxAlpha">
      <controlPr defaultSize="0" disabled="1" autoLine="0" linkedCell="Alpha" r:id="rId11">
        <anchor moveWithCells="1">
          <from>
            <xdr:col>0</xdr:col>
            <xdr:colOff>0</xdr:colOff>
            <xdr:row>30</xdr:row>
            <xdr:rowOff>266700</xdr:rowOff>
          </from>
          <to>
            <xdr:col>77</xdr:col>
            <xdr:colOff>609600</xdr:colOff>
            <xdr:row>30</xdr:row>
            <xdr:rowOff>447675</xdr:rowOff>
          </to>
        </anchor>
      </controlPr>
    </control>
    <control shapeId="1191" r:id="rId12" name="TextBoxDp">
      <controlPr defaultSize="0" disabled="1" autoLine="0" linkedCell="dDP" r:id="rId13">
        <anchor moveWithCells="1">
          <from>
            <xdr:col>0</xdr:col>
            <xdr:colOff>0</xdr:colOff>
            <xdr:row>31</xdr:row>
            <xdr:rowOff>0</xdr:rowOff>
          </from>
          <to>
            <xdr:col>79</xdr:col>
            <xdr:colOff>66675</xdr:colOff>
            <xdr:row>31</xdr:row>
            <xdr:rowOff>171450</xdr:rowOff>
          </to>
        </anchor>
      </controlPr>
    </control>
    <control shapeId="1193" r:id="rId14" name="TextBoxLp">
      <controlPr defaultSize="0" disabled="1" autoLine="0" linkedCell="lp" r:id="rId15">
        <anchor moveWithCells="1">
          <from>
            <xdr:col>0</xdr:col>
            <xdr:colOff>0</xdr:colOff>
            <xdr:row>36</xdr:row>
            <xdr:rowOff>123825</xdr:rowOff>
          </from>
          <to>
            <xdr:col>78</xdr:col>
            <xdr:colOff>323850</xdr:colOff>
            <xdr:row>37</xdr:row>
            <xdr:rowOff>57150</xdr:rowOff>
          </to>
        </anchor>
      </controlPr>
    </control>
    <control shapeId="1194" r:id="rId16" name="TextBoxRDB">
      <controlPr defaultSize="0" disabled="1" autoLine="0" linkedCell="RDB" r:id="rId17">
        <anchor moveWithCells="1">
          <from>
            <xdr:col>0</xdr:col>
            <xdr:colOff>0</xdr:colOff>
            <xdr:row>37</xdr:row>
            <xdr:rowOff>190500</xdr:rowOff>
          </from>
          <to>
            <xdr:col>78</xdr:col>
            <xdr:colOff>247650</xdr:colOff>
            <xdr:row>39</xdr:row>
            <xdr:rowOff>28575</xdr:rowOff>
          </to>
        </anchor>
      </controlPr>
    </control>
    <control shapeId="1192" r:id="rId18" name="TextBoxhp">
      <controlPr defaultSize="0" disabled="1" autoLine="0" linkedCell="hP" r:id="rId19">
        <anchor moveWithCells="1">
          <from>
            <xdr:col>0</xdr:col>
            <xdr:colOff>0</xdr:colOff>
            <xdr:row>30</xdr:row>
            <xdr:rowOff>1314450</xdr:rowOff>
          </from>
          <to>
            <xdr:col>80</xdr:col>
            <xdr:colOff>95250</xdr:colOff>
            <xdr:row>31</xdr:row>
            <xdr:rowOff>66675</xdr:rowOff>
          </to>
        </anchor>
      </controlPr>
    </control>
    <control shapeId="1077" r:id="rId20" name="CheckBox_Alpha">
      <controlPr defaultSize="0" autoLine="0" linkedCell="G38" r:id="rId21">
        <anchor moveWithCells="1" sizeWithCells="1">
          <from>
            <xdr:col>1</xdr:col>
            <xdr:colOff>2809875</xdr:colOff>
            <xdr:row>37</xdr:row>
            <xdr:rowOff>19050</xdr:rowOff>
          </from>
          <to>
            <xdr:col>1</xdr:col>
            <xdr:colOff>3457575</xdr:colOff>
            <xdr:row>38</xdr:row>
            <xdr:rowOff>0</xdr:rowOff>
          </to>
        </anchor>
      </controlPr>
    </control>
    <control shapeId="1085" r:id="rId22" name="CheckBox_Hardened">
      <controlPr defaultSize="0" disabled="1" autoLine="0" linkedCell="D32" r:id="rId23">
        <anchor moveWithCells="1">
          <from>
            <xdr:col>3</xdr:col>
            <xdr:colOff>180975</xdr:colOff>
            <xdr:row>31</xdr:row>
            <xdr:rowOff>19050</xdr:rowOff>
          </from>
          <to>
            <xdr:col>3</xdr:col>
            <xdr:colOff>914400</xdr:colOff>
            <xdr:row>31</xdr:row>
            <xdr:rowOff>209550</xdr:rowOff>
          </to>
        </anchor>
      </controlPr>
    </control>
    <control shapeId="1086" r:id="rId24" name="V">
      <controlPr defaultSize="0" autoLine="0" r:id="rId25">
        <anchor moveWithCells="1">
          <from>
            <xdr:col>0</xdr:col>
            <xdr:colOff>0</xdr:colOff>
            <xdr:row>30</xdr:row>
            <xdr:rowOff>1076325</xdr:rowOff>
          </from>
          <to>
            <xdr:col>83</xdr:col>
            <xdr:colOff>219075</xdr:colOff>
            <xdr:row>30</xdr:row>
            <xdr:rowOff>1333500</xdr:rowOff>
          </to>
        </anchor>
      </controlPr>
    </control>
    <control shapeId="1087" r:id="rId26" name="U">
      <controlPr defaultSize="0" autoLine="0" autoPict="0" r:id="rId27">
        <anchor moveWithCells="1">
          <from>
            <xdr:col>0</xdr:col>
            <xdr:colOff>-71685150</xdr:colOff>
            <xdr:row>30</xdr:row>
            <xdr:rowOff>1057275</xdr:rowOff>
          </from>
          <to>
            <xdr:col>0</xdr:col>
            <xdr:colOff>-71351775</xdr:colOff>
            <xdr:row>30</xdr:row>
            <xdr:rowOff>1314450</xdr:rowOff>
          </to>
        </anchor>
      </controlPr>
    </control>
    <control shapeId="1103" r:id="rId28" name="TextBox_PN">
      <controlPr defaultSize="0" autoLine="0" autoPict="0" linkedCell="Passengers_No." r:id="rId29">
        <anchor moveWithCells="1" sizeWithCells="1">
          <from>
            <xdr:col>6</xdr:col>
            <xdr:colOff>0</xdr:colOff>
            <xdr:row>9</xdr:row>
            <xdr:rowOff>19050</xdr:rowOff>
          </from>
          <to>
            <xdr:col>6</xdr:col>
            <xdr:colOff>0</xdr:colOff>
            <xdr:row>9</xdr:row>
            <xdr:rowOff>209550</xdr:rowOff>
          </to>
        </anchor>
      </controlPr>
    </control>
    <control shapeId="1107" r:id="rId30" name="TextBox_Stp">
      <controlPr autoLine="0" autoPict="0" linkedCell="Stops" r:id="rId31">
        <anchor moveWithCells="1" sizeWithCells="1">
          <from>
            <xdr:col>6</xdr:col>
            <xdr:colOff>0</xdr:colOff>
            <xdr:row>7</xdr:row>
            <xdr:rowOff>9525</xdr:rowOff>
          </from>
          <to>
            <xdr:col>9</xdr:col>
            <xdr:colOff>247650</xdr:colOff>
            <xdr:row>7</xdr:row>
            <xdr:rowOff>238125</xdr:rowOff>
          </to>
        </anchor>
      </controlPr>
    </control>
    <control shapeId="1109" r:id="rId32" name="CheckBox_Atotal">
      <controlPr defaultSize="0" autoLine="0" altText="hgh kj" linkedCell="G15" r:id="rId33">
        <anchor moveWithCells="1" sizeWithCells="1">
          <from>
            <xdr:col>1</xdr:col>
            <xdr:colOff>2809875</xdr:colOff>
            <xdr:row>14</xdr:row>
            <xdr:rowOff>19050</xdr:rowOff>
          </from>
          <to>
            <xdr:col>1</xdr:col>
            <xdr:colOff>3457575</xdr:colOff>
            <xdr:row>15</xdr:row>
            <xdr:rowOff>0</xdr:rowOff>
          </to>
        </anchor>
      </controlPr>
    </control>
    <control shapeId="1126" r:id="rId34" name="TextBox_nc">
      <controlPr defaultSize="0" autoLine="0" autoPict="0" linkedCell="nc" r:id="rId35">
        <anchor moveWithCells="1" sizeWithCells="1">
          <from>
            <xdr:col>6</xdr:col>
            <xdr:colOff>0</xdr:colOff>
            <xdr:row>60</xdr:row>
            <xdr:rowOff>190500</xdr:rowOff>
          </from>
          <to>
            <xdr:col>6</xdr:col>
            <xdr:colOff>0</xdr:colOff>
            <xdr:row>61</xdr:row>
            <xdr:rowOff>171450</xdr:rowOff>
          </to>
        </anchor>
      </controlPr>
    </control>
    <control shapeId="1127" r:id="rId36" name="Beta_Calc">
      <controlPr defaultSize="0" print="0" autoFill="0" autoLine="0" r:id="rId37">
        <anchor moveWithCells="1" sizeWithCells="1">
          <from>
            <xdr:col>1</xdr:col>
            <xdr:colOff>2952750</xdr:colOff>
            <xdr:row>32</xdr:row>
            <xdr:rowOff>9525</xdr:rowOff>
          </from>
          <to>
            <xdr:col>1</xdr:col>
            <xdr:colOff>3143250</xdr:colOff>
            <xdr:row>33</xdr:row>
            <xdr:rowOff>9525</xdr:rowOff>
          </to>
        </anchor>
      </controlPr>
    </control>
    <control shapeId="1140" r:id="rId38" name="Car_Area_Calc">
      <controlPr defaultSize="0" print="0" autoFill="0" autoLine="0" r:id="rId39">
        <anchor moveWithCells="1" sizeWithCells="1">
          <from>
            <xdr:col>5</xdr:col>
            <xdr:colOff>38100</xdr:colOff>
            <xdr:row>13</xdr:row>
            <xdr:rowOff>19050</xdr:rowOff>
          </from>
          <to>
            <xdr:col>5</xdr:col>
            <xdr:colOff>2162175</xdr:colOff>
            <xdr:row>15</xdr:row>
            <xdr:rowOff>0</xdr:rowOff>
          </to>
        </anchor>
      </controlPr>
    </control>
    <control shapeId="1149" r:id="rId40" name="OptionButtonEN81_1">
      <controlPr defaultSize="0" autoFill="0" autoLine="0" autoPict="0" r:id="rId41">
        <anchor moveWithCells="1">
          <from>
            <xdr:col>1</xdr:col>
            <xdr:colOff>9525</xdr:colOff>
            <xdr:row>0</xdr:row>
            <xdr:rowOff>114300</xdr:rowOff>
          </from>
          <to>
            <xdr:col>1</xdr:col>
            <xdr:colOff>1933575</xdr:colOff>
            <xdr:row>0</xdr:row>
            <xdr:rowOff>361950</xdr:rowOff>
          </to>
        </anchor>
      </controlPr>
    </control>
    <control shapeId="1150" r:id="rId42" name="OptionButtonEN81_1A3">
      <controlPr defaultSize="0" autoFill="0" autoLine="0" autoPict="0" r:id="rId43">
        <anchor moveWithCells="1">
          <from>
            <xdr:col>1</xdr:col>
            <xdr:colOff>2428875</xdr:colOff>
            <xdr:row>0</xdr:row>
            <xdr:rowOff>114300</xdr:rowOff>
          </from>
          <to>
            <xdr:col>3</xdr:col>
            <xdr:colOff>295275</xdr:colOff>
            <xdr:row>0</xdr:row>
            <xdr:rowOff>361950</xdr:rowOff>
          </to>
        </anchor>
      </controlPr>
    </control>
    <control shapeId="1151" r:id="rId44" name="OptionButtonEN81_20">
      <controlPr defaultSize="0" disabled="1" autoFill="0" autoLine="0" r:id="rId45">
        <anchor moveWithCells="1">
          <from>
            <xdr:col>3</xdr:col>
            <xdr:colOff>704850</xdr:colOff>
            <xdr:row>0</xdr:row>
            <xdr:rowOff>114300</xdr:rowOff>
          </from>
          <to>
            <xdr:col>4</xdr:col>
            <xdr:colOff>1285875</xdr:colOff>
            <xdr:row>0</xdr:row>
            <xdr:rowOff>361950</xdr:rowOff>
          </to>
        </anchor>
      </controlPr>
    </control>
    <control shapeId="1164" r:id="rId46" name="ImageCar_MC">
      <controlPr defaultSize="0" autoLine="0" r:id="rId47">
        <anchor moveWithCells="1">
          <from>
            <xdr:col>5</xdr:col>
            <xdr:colOff>9525</xdr:colOff>
            <xdr:row>41</xdr:row>
            <xdr:rowOff>19050</xdr:rowOff>
          </from>
          <to>
            <xdr:col>5</xdr:col>
            <xdr:colOff>3095625</xdr:colOff>
            <xdr:row>55</xdr:row>
            <xdr:rowOff>123825</xdr:rowOff>
          </to>
        </anchor>
      </controlPr>
    </control>
    <control shapeId="1171" r:id="rId48" name="TextBox_r">
      <controlPr defaultSize="0" autoLine="0" autoPict="0" linkedCell="r." r:id="rId49">
        <anchor moveWithCells="1" sizeWithCells="1">
          <from>
            <xdr:col>6</xdr:col>
            <xdr:colOff>0</xdr:colOff>
            <xdr:row>58</xdr:row>
            <xdr:rowOff>209550</xdr:rowOff>
          </from>
          <to>
            <xdr:col>6</xdr:col>
            <xdr:colOff>0</xdr:colOff>
            <xdr:row>59</xdr:row>
            <xdr:rowOff>171450</xdr:rowOff>
          </to>
        </anchor>
      </controlPr>
    </control>
    <control shapeId="1177" r:id="rId50" name="CheckBoxD3">
      <controlPr defaultSize="0" autoLine="0" linkedCell="En_D3" r:id="rId51">
        <anchor moveWithCells="1">
          <from>
            <xdr:col>1</xdr:col>
            <xdr:colOff>3295650</xdr:colOff>
            <xdr:row>81</xdr:row>
            <xdr:rowOff>9525</xdr:rowOff>
          </from>
          <to>
            <xdr:col>1</xdr:col>
            <xdr:colOff>3457575</xdr:colOff>
            <xdr:row>81</xdr:row>
            <xdr:rowOff>209550</xdr:rowOff>
          </to>
        </anchor>
      </controlPr>
    </control>
    <control shapeId="1178" r:id="rId52" name="CheckBoxD4">
      <controlPr defaultSize="0" autoLine="0" linkedCell="En_D4" r:id="rId51">
        <anchor moveWithCells="1">
          <from>
            <xdr:col>1</xdr:col>
            <xdr:colOff>3295650</xdr:colOff>
            <xdr:row>82</xdr:row>
            <xdr:rowOff>0</xdr:rowOff>
          </from>
          <to>
            <xdr:col>1</xdr:col>
            <xdr:colOff>3457575</xdr:colOff>
            <xdr:row>82</xdr:row>
            <xdr:rowOff>200025</xdr:rowOff>
          </to>
        </anchor>
      </controlPr>
    </control>
    <control shapeId="1184" r:id="rId53" name="TextBox_mcr">
      <controlPr defaultSize="0" autoLine="0" autoPict="0" linkedCell="mcr" r:id="rId54">
        <anchor moveWithCells="1" sizeWithCells="1">
          <from>
            <xdr:col>6</xdr:col>
            <xdr:colOff>0</xdr:colOff>
            <xdr:row>61</xdr:row>
            <xdr:rowOff>209550</xdr:rowOff>
          </from>
          <to>
            <xdr:col>6</xdr:col>
            <xdr:colOff>0</xdr:colOff>
            <xdr:row>62</xdr:row>
            <xdr:rowOff>209550</xdr:rowOff>
          </to>
        </anchor>
      </controlPr>
    </control>
    <control shapeId="1185" r:id="rId55" name="ComboBoxCP">
      <controlPr defaultSize="0" print="0" autoLine="0" altText="درصد جبران مورد نظر را انتخاب کنید:" listFillRange="Percent" r:id="rId56">
        <anchor moveWithCells="1" sizeWithCells="1">
          <from>
            <xdr:col>1</xdr:col>
            <xdr:colOff>2762250</xdr:colOff>
            <xdr:row>63</xdr:row>
            <xdr:rowOff>9525</xdr:rowOff>
          </from>
          <to>
            <xdr:col>1</xdr:col>
            <xdr:colOff>3524250</xdr:colOff>
            <xdr:row>64</xdr:row>
            <xdr:rowOff>0</xdr:rowOff>
          </to>
        </anchor>
      </controlPr>
    </control>
    <control shapeId="1175" r:id="rId57" name="CheckBoxD1">
      <controlPr defaultSize="0" autoLine="0" linkedCell="En_D1" r:id="rId58">
        <anchor moveWithCells="1">
          <from>
            <xdr:col>1</xdr:col>
            <xdr:colOff>3295650</xdr:colOff>
            <xdr:row>79</xdr:row>
            <xdr:rowOff>28575</xdr:rowOff>
          </from>
          <to>
            <xdr:col>1</xdr:col>
            <xdr:colOff>3457575</xdr:colOff>
            <xdr:row>79</xdr:row>
            <xdr:rowOff>219075</xdr:rowOff>
          </to>
        </anchor>
      </controlPr>
    </control>
    <control shapeId="1176" r:id="rId59" name="CheckBoxD2">
      <controlPr defaultSize="0" autoLine="0" linkedCell="En_D2" r:id="rId60">
        <anchor moveWithCells="1">
          <from>
            <xdr:col>1</xdr:col>
            <xdr:colOff>3295650</xdr:colOff>
            <xdr:row>80</xdr:row>
            <xdr:rowOff>28575</xdr:rowOff>
          </from>
          <to>
            <xdr:col>1</xdr:col>
            <xdr:colOff>3457575</xdr:colOff>
            <xdr:row>80</xdr:row>
            <xdr:rowOff>209550</xdr:rowOff>
          </to>
        </anchor>
      </controlPr>
    </control>
    <control shapeId="1197" r:id="rId61" name="ImageAlpha2">
      <controlPr defaultSize="0" disabled="1" autoLine="0" autoPict="0" r:id="rId62">
        <anchor moveWithCells="1">
          <from>
            <xdr:col>0</xdr:col>
            <xdr:colOff>-70399275</xdr:colOff>
            <xdr:row>29</xdr:row>
            <xdr:rowOff>180975</xdr:rowOff>
          </from>
          <to>
            <xdr:col>0</xdr:col>
            <xdr:colOff>-67208400</xdr:colOff>
            <xdr:row>39</xdr:row>
            <xdr:rowOff>95250</xdr:rowOff>
          </to>
        </anchor>
      </controlPr>
    </control>
    <control shapeId="1198" r:id="rId63" name="TextBox1">
      <controlPr defaultSize="0" disabled="1" autoLine="0" linkedCell="Dt" r:id="rId64">
        <anchor moveWithCells="1">
          <from>
            <xdr:col>0</xdr:col>
            <xdr:colOff>0</xdr:colOff>
            <xdr:row>29</xdr:row>
            <xdr:rowOff>200025</xdr:rowOff>
          </from>
          <to>
            <xdr:col>77</xdr:col>
            <xdr:colOff>333375</xdr:colOff>
            <xdr:row>30</xdr:row>
            <xdr:rowOff>152400</xdr:rowOff>
          </to>
        </anchor>
      </controlPr>
    </control>
    <control shapeId="1199" r:id="rId65" name="TextBox2">
      <controlPr defaultSize="0" disabled="1" autoLine="0" linkedCell="Alpha" r:id="rId66">
        <anchor moveWithCells="1">
          <from>
            <xdr:col>0</xdr:col>
            <xdr:colOff>0</xdr:colOff>
            <xdr:row>30</xdr:row>
            <xdr:rowOff>523875</xdr:rowOff>
          </from>
          <to>
            <xdr:col>77</xdr:col>
            <xdr:colOff>161925</xdr:colOff>
            <xdr:row>30</xdr:row>
            <xdr:rowOff>695325</xdr:rowOff>
          </to>
        </anchor>
      </controlPr>
    </control>
    <control shapeId="1200" r:id="rId67" name="TextBox3">
      <controlPr defaultSize="0" disabled="1" autoLine="0" linkedCell="dDP" r:id="rId68">
        <anchor moveWithCells="1">
          <from>
            <xdr:col>0</xdr:col>
            <xdr:colOff>0</xdr:colOff>
            <xdr:row>31</xdr:row>
            <xdr:rowOff>85725</xdr:rowOff>
          </from>
          <to>
            <xdr:col>79</xdr:col>
            <xdr:colOff>247650</xdr:colOff>
            <xdr:row>32</xdr:row>
            <xdr:rowOff>19050</xdr:rowOff>
          </to>
        </anchor>
      </controlPr>
    </control>
    <control shapeId="1201" r:id="rId69" name="TextBox4">
      <controlPr defaultSize="0" disabled="1" autoLine="0" linkedCell="lp" r:id="rId70">
        <anchor moveWithCells="1">
          <from>
            <xdr:col>0</xdr:col>
            <xdr:colOff>0</xdr:colOff>
            <xdr:row>36</xdr:row>
            <xdr:rowOff>104775</xdr:rowOff>
          </from>
          <to>
            <xdr:col>78</xdr:col>
            <xdr:colOff>219075</xdr:colOff>
            <xdr:row>37</xdr:row>
            <xdr:rowOff>57150</xdr:rowOff>
          </to>
        </anchor>
      </controlPr>
    </control>
    <control shapeId="1202" r:id="rId71" name="TextBox5">
      <controlPr defaultSize="0" disabled="1" autoLine="0" linkedCell="RDB" r:id="rId72">
        <anchor moveWithCells="1">
          <from>
            <xdr:col>0</xdr:col>
            <xdr:colOff>0</xdr:colOff>
            <xdr:row>37</xdr:row>
            <xdr:rowOff>152400</xdr:rowOff>
          </from>
          <to>
            <xdr:col>78</xdr:col>
            <xdr:colOff>228600</xdr:colOff>
            <xdr:row>39</xdr:row>
            <xdr:rowOff>0</xdr:rowOff>
          </to>
        </anchor>
      </controlPr>
    </control>
    <control shapeId="1203" r:id="rId73" name="TextBox6">
      <controlPr defaultSize="0" disabled="1" autoLine="0" linkedCell="hP" r:id="rId74">
        <anchor moveWithCells="1">
          <from>
            <xdr:col>0</xdr:col>
            <xdr:colOff>0</xdr:colOff>
            <xdr:row>30</xdr:row>
            <xdr:rowOff>1333500</xdr:rowOff>
          </from>
          <to>
            <xdr:col>80</xdr:col>
            <xdr:colOff>142875</xdr:colOff>
            <xdr:row>31</xdr:row>
            <xdr:rowOff>123825</xdr:rowOff>
          </to>
        </anchor>
      </controlPr>
    </control>
    <control shapeId="1207" r:id="rId75" name="TextBox7">
      <controlPr defaultSize="0" disabled="1" autoLine="0" linkedCell="Alpha2" r:id="rId76">
        <anchor moveWithCells="1">
          <from>
            <xdr:col>0</xdr:col>
            <xdr:colOff>0</xdr:colOff>
            <xdr:row>30</xdr:row>
            <xdr:rowOff>323850</xdr:rowOff>
          </from>
          <to>
            <xdr:col>77</xdr:col>
            <xdr:colOff>133350</xdr:colOff>
            <xdr:row>30</xdr:row>
            <xdr:rowOff>495300</xdr:rowOff>
          </to>
        </anchor>
      </controlPr>
    </control>
    <control shapeId="1211" r:id="rId77" name="TextBox_Beta">
      <controlPr defaultSize="0" autoLine="0" autoPict="0" linkedCell="Beta" r:id="rId78">
        <anchor moveWithCells="1">
          <from>
            <xdr:col>9</xdr:col>
            <xdr:colOff>514350</xdr:colOff>
            <xdr:row>31</xdr:row>
            <xdr:rowOff>57150</xdr:rowOff>
          </from>
          <to>
            <xdr:col>10</xdr:col>
            <xdr:colOff>95250</xdr:colOff>
            <xdr:row>32</xdr:row>
            <xdr:rowOff>123825</xdr:rowOff>
          </to>
        </anchor>
      </controlPr>
    </control>
    <control shapeId="1213" r:id="rId79" name="TextBox_Gamma">
      <controlPr defaultSize="0" autoLine="0" linkedCell="Gamma" r:id="rId80">
        <anchor moveWithCells="1">
          <from>
            <xdr:col>9</xdr:col>
            <xdr:colOff>485775</xdr:colOff>
            <xdr:row>28</xdr:row>
            <xdr:rowOff>180975</xdr:rowOff>
          </from>
          <to>
            <xdr:col>9</xdr:col>
            <xdr:colOff>733425</xdr:colOff>
            <xdr:row>30</xdr:row>
            <xdr:rowOff>9525</xdr:rowOff>
          </to>
        </anchor>
      </controlPr>
    </control>
    <control shapeId="1067" r:id="rId81" name="Label 43">
      <controlPr defaultSize="0" autoFill="0" autoLine="0" autoPict="0" macro="[0]!Label43_Click">
        <anchor moveWithCells="1" sizeWithCells="1">
          <from>
            <xdr:col>0</xdr:col>
            <xdr:colOff>-126291975</xdr:colOff>
            <xdr:row>36</xdr:row>
            <xdr:rowOff>171450</xdr:rowOff>
          </from>
          <to>
            <xdr:col>0</xdr:col>
            <xdr:colOff>-125968125</xdr:colOff>
            <xdr:row>37</xdr:row>
            <xdr:rowOff>142875</xdr:rowOff>
          </to>
        </anchor>
      </controlPr>
    </control>
    <control shapeId="1068" r:id="rId82" name="Label 44">
      <controlPr defaultSize="0" autoFill="0" autoLine="0" autoPict="0" altText="α1">
        <anchor moveWithCells="1" sizeWithCells="1">
          <from>
            <xdr:col>0</xdr:col>
            <xdr:colOff>-125596650</xdr:colOff>
            <xdr:row>30</xdr:row>
            <xdr:rowOff>381000</xdr:rowOff>
          </from>
          <to>
            <xdr:col>0</xdr:col>
            <xdr:colOff>-125196600</xdr:colOff>
            <xdr:row>30</xdr:row>
            <xdr:rowOff>657225</xdr:rowOff>
          </to>
        </anchor>
      </controlPr>
    </control>
    <control shapeId="1069" r:id="rId83" name="Label 45">
      <controlPr defaultSize="0" autoFill="0" autoLine="0" autoPict="0">
        <anchor moveWithCells="1" sizeWithCells="1">
          <from>
            <xdr:col>0</xdr:col>
            <xdr:colOff>-126291975</xdr:colOff>
            <xdr:row>37</xdr:row>
            <xdr:rowOff>228600</xdr:rowOff>
          </from>
          <to>
            <xdr:col>0</xdr:col>
            <xdr:colOff>-125939550</xdr:colOff>
            <xdr:row>39</xdr:row>
            <xdr:rowOff>133350</xdr:rowOff>
          </to>
        </anchor>
      </controlPr>
    </control>
    <control shapeId="1131" r:id="rId84" name="Label 107">
      <controlPr defaultSize="0" autoFill="0" autoLine="0" autoPict="0">
        <anchor moveWithCells="1" sizeWithCells="1">
          <from>
            <xdr:col>0</xdr:col>
            <xdr:colOff>-127530225</xdr:colOff>
            <xdr:row>31</xdr:row>
            <xdr:rowOff>47625</xdr:rowOff>
          </from>
          <to>
            <xdr:col>0</xdr:col>
            <xdr:colOff>-127177800</xdr:colOff>
            <xdr:row>32</xdr:row>
            <xdr:rowOff>57150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text="Error" id="{F8152CDC-ADD4-485E-8624-0525A7AE18D0}">
            <xm:f>NOT(ISERROR(SEARCH("Error",'محاسبات دیگر '!E60)))</xm:f>
            <x14:dxf>
              <font>
                <color rgb="FFFF0000"/>
              </font>
            </x14:dxf>
          </x14:cfRule>
          <xm:sqref>F57</xm:sqref>
        </x14:conditionalFormatting>
        <x14:conditionalFormatting xmlns:xm="http://schemas.microsoft.com/office/excel/2006/main">
          <x14:cfRule type="containsText" priority="104" stopIfTrue="1" operator="containsText" text="Error" id="{F8152CDC-ADD4-485E-8624-0525A7AE18D0}">
            <xm:f>NOT(ISERROR(SEARCH("Error",'محاسبات دیگر '!D60)))</xm:f>
            <x14:dxf>
              <font>
                <color rgb="FFFF0000"/>
              </font>
            </x14:dxf>
          </x14:cfRule>
          <xm:sqref>D57</xm:sqref>
        </x14:conditionalFormatting>
      </x14:conditionalFormattings>
    </ext>
    <ext xmlns:x14="http://schemas.microsoft.com/office/spreadsheetml/2009/9/main" uri="{CCE6A557-97BC-4b89-ADB6-D9C93CAAB3DF}">
      <x14:dataValidations xmlns:xm="http://schemas.microsoft.com/office/excel/2006/main" xWindow="1091" yWindow="423" count="11">
        <x14:dataValidation type="list" showInputMessage="1" showErrorMessage="1" errorTitle="خطا" error="توع کفشک را از لیست انتخاب کنید." promptTitle="نوع کفشک های راهنما:" prompt="نوع کفشک راهنمایی که در آسانسور بکار رفته را مشخص کنید. آین مشخصه در راندمان چاه تاثیر دارد.">
          <x14:formula1>
            <xm:f>'فلکه هرزگرد'!$B$16:$B$18</xm:f>
          </x14:formula1>
          <xm:sqref>D22</xm:sqref>
        </x14:dataValidation>
        <x14:dataValidation type="list" errorStyle="warning" showInputMessage="1" showErrorMessage="1" errorTitle="توجه" error="زاویه شیار وارد شده جزو مقادیر جدول استاندارد نیست، از روش میان یابی محاسبه می شود. آیا مطمئن هستید ؟" promptTitle="زاویه شیار فلکه کشش:" prompt="زاویه شیار فلکه کشش  (گاما) را بر حسب درجه وارد کنید._x000a_حداقل این زاویه در شیار V شکل 35 درجه و در شیار U شکل 25 درجه می‌باشد._x000a_حداکثر این زاویه 60 درجه می‌باشد._x000a__x000a_در این مورد اظهار عرضه کننده ملاک است.">
          <x14:formula1>
            <xm:f>'مساحت کابین &amp; Neq(t)'!$J$2:$T$2</xm:f>
          </x14:formula1>
          <xm:sqref>D30</xm:sqref>
        </x14:dataValidation>
        <x14:dataValidation type="list" showInputMessage="1" showErrorMessage="1" errorTitle="خطا" error="تعداد سیم بکسل مطابق لیست میتواند باشد" promptTitle="تعداد طناب های تعلیق:" prompt="تعداد سیم بکسل های استفاده شده برای سیستم آویز را وارد کنید._x000a_این تعداد بین 3 تا 12 عدد میتواند باشد.">
          <x14:formula1>
            <xm:f>'فلکه هرزگرد'!$B$4:$B$13</xm:f>
          </x14:formula1>
          <xm:sqref>D58</xm:sqref>
        </x14:dataValidation>
        <x14:dataValidation type="list" showInputMessage="1" showErrorMessage="1" errorTitle="خطا" error="قطر فلکه را از لیست انتخاب کنید." promptTitle="قطر فلكه(ها)ی متصل به وزنه:" prompt="قطر فلكه(ها)ی وزنه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D77</xm:sqref>
        </x14:dataValidation>
        <x14:dataValidation type="list" showInputMessage="1" showErrorMessage="1" errorTitle="خطا" error=" نوع ریل را از لیست انتخاب کنید" promptTitle="نوع ریل راهنما:" prompt="نوع ریل راهنمای کابین را از لیست انتخاب نمایید._x000a__x000a_اگر از ریل راهنمای خاصی استفاده شده که در لیست نیست، نوع و مشخصات فنی آن ریل را ابتدا در برگه &quot;ریل‌های راهنما&quot; در سطر اخر وارد کرده و سپس در این جا گزینه آخر از لیست را انتخاب نمایید.">
          <x14:formula1>
            <xm:f>'ریلهای راهنما'!$B$4:$B$16</xm:f>
          </x14:formula1>
          <xm:sqref>D40</xm:sqref>
        </x14:dataValidation>
        <x14:dataValidation type="list" errorStyle="warning" showInputMessage="1" showErrorMessage="1" errorTitle="توجه" error="زاویه زیر برش وارد شده جزو مقادیر جدول استاندارد نیست، از روش میان یابی محاسبه می شود. آیا مطمئن هستید ؟" promptTitle="زاویه زیربرش شیار فلکه کشش:" prompt="زاویه  زیر برش شیار فلکه کشش (بتا) را بر حسب درجه وارد کنید._x000a_این زاویه از صفر درجه (بدون زیر برش) تا 106 درجه میتواند باشد._x000a_شیار V شکل بدون زیربرش باید سخت‌کاری شده باشد._x000a__x000a_در این مورد اظهار عرضه کننده ملاک است.">
          <x14:formula1>
            <xm:f>'مساحت کابین &amp; Neq(t)'!$J$5:$U$5</xm:f>
          </x14:formula1>
          <xm:sqref>D33</xm:sqref>
        </x14:dataValidation>
        <x14:dataValidation type="list" allowBlank="1" showInputMessage="1" showErrorMessage="1" errorTitle="خطا" error="قطر فلکه را از لیست انتخاب کنید" promptTitle="قطر فلکه فاصله انداز:" prompt="قطر فلكه  فاصله انداز را بر حسب میلیمتر وارد کنید. این قطر باید حداقل 40 برابر قطر سیم بکسل باشد._x000a__x000a_اگر در موتورخانه بیش از یک فلکه هرزگرد (فلکه معکوس) استفاده شده، زاویه پیچش دستی را تیک زده، مقدار زاویه آلفا و تعداد فلکه‌ها را دستی وارد کنید.">
          <x14:formula1>
            <xm:f>'فلکه هرزگرد'!$D$3:$O$3</xm:f>
          </x14:formula1>
          <xm:sqref>D29</xm:sqref>
        </x14:dataValidation>
        <x14:dataValidation type="list" showInputMessage="1" showErrorMessage="1" errorTitle="خطا" error="نوع سیم بکسل را از لیست انتخاب کنید." promptTitle="نوع سیم بکسل:" prompt="نوع سیم بکسل استفاده شده برای سیستم آویز را از لیست انتخاب نمایید._x000a__x000a_اگر از سیم بکسل خاصی استفاده شده که در لیست نیست، نوع و مشخصات فنی آن سیم بکسل  را ابتدا در برگه &quot;سیم بکسلها&quot; در دو ستون آخر وارد کرده و سپس در این جا آن گزینه را از لیست انتخاب نمایید.">
          <x14:formula1>
            <xm:f>'سيم بکسلها'!$B$23:$B$33</xm:f>
          </x14:formula1>
          <xm:sqref>C56:D56</xm:sqref>
        </x14:dataValidation>
        <x14:dataValidation type="list" showInputMessage="1" showErrorMessage="1" errorTitle="خطا" error="قطر فلکه را از لیست انتخاب کنید." promptTitle="قطر فلكه ثابت سمت کابین:" prompt="قطر فلكه فاصله انداز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D74</xm:sqref>
        </x14:dataValidation>
        <x14:dataValidation type="list" showInputMessage="1" showErrorMessage="1" errorTitle="خطا" error="قطر فلکه را از لیست انتخاب کنید." promptTitle="قطر فلكه ثابت سمت وزنه:" prompt="قطر فلكه فاصله انداز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D75</xm:sqref>
        </x14:dataValidation>
        <x14:dataValidation type="list" showInputMessage="1" showErrorMessage="1" errorTitle="خطا" error="قطر فلکه را از لیست انتخاب کنید." promptTitle="قطر فلكه(ها)ی متصل به کابین:" prompt="قطر فلكه(ها)ی کابین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D76</xm:sqref>
        </x14:dataValidation>
      </x14:dataValidations>
    </ext>
  </extLst>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Neq"/>
  <dimension ref="B1:AJ35"/>
  <sheetViews>
    <sheetView showGridLines="0" rightToLeft="1" topLeftCell="H1" zoomScale="90" zoomScaleNormal="90" workbookViewId="0">
      <selection activeCell="H10" sqref="H10"/>
    </sheetView>
  </sheetViews>
  <sheetFormatPr defaultColWidth="8.69921875" defaultRowHeight="15.75"/>
  <cols>
    <col min="1" max="1" width="1.8984375" style="59" customWidth="1"/>
    <col min="2" max="2" width="8.8984375" style="70" customWidth="1"/>
    <col min="3" max="3" width="9.3984375" style="70" bestFit="1" customWidth="1"/>
    <col min="4" max="4" width="0.69921875" style="59" customWidth="1"/>
    <col min="5" max="5" width="8.09765625" style="70" bestFit="1" customWidth="1"/>
    <col min="6" max="6" width="9" style="70" bestFit="1" customWidth="1"/>
    <col min="7" max="7" width="0.8984375" style="59" customWidth="1"/>
    <col min="8" max="8" width="12.3984375" style="59" customWidth="1"/>
    <col min="9" max="9" width="10.59765625" style="59" customWidth="1"/>
    <col min="10" max="11" width="3.296875" style="59" customWidth="1"/>
    <col min="12" max="14" width="3.59765625" style="59" bestFit="1" customWidth="1"/>
    <col min="15" max="15" width="3.296875" style="59" customWidth="1"/>
    <col min="16" max="18" width="3.59765625" style="59" bestFit="1" customWidth="1"/>
    <col min="19" max="21" width="3.69921875" style="59" bestFit="1" customWidth="1"/>
    <col min="22" max="22" width="3.296875" style="59" customWidth="1"/>
    <col min="23" max="23" width="0.69921875" style="59" customWidth="1"/>
    <col min="24" max="24" width="10.69921875" style="59" customWidth="1"/>
    <col min="25" max="25" width="9.8984375" style="59" customWidth="1"/>
    <col min="26" max="30" width="3.69921875" style="59" bestFit="1" customWidth="1"/>
    <col min="31" max="32" width="3.59765625" style="59" bestFit="1" customWidth="1"/>
    <col min="33" max="36" width="2.796875" style="59" bestFit="1" customWidth="1"/>
    <col min="37" max="16384" width="8.69921875" style="59"/>
  </cols>
  <sheetData>
    <row r="1" spans="2:36" ht="16.5" thickBot="1">
      <c r="B1" s="58" t="s">
        <v>146</v>
      </c>
      <c r="C1" s="58" t="s">
        <v>147</v>
      </c>
      <c r="E1" s="58" t="s">
        <v>148</v>
      </c>
      <c r="F1" s="58" t="s">
        <v>149</v>
      </c>
      <c r="L1" s="833" t="s">
        <v>234</v>
      </c>
      <c r="M1" s="833"/>
      <c r="N1" s="833"/>
      <c r="O1" s="833"/>
      <c r="P1" s="833"/>
      <c r="Q1" s="833"/>
      <c r="R1" s="833"/>
      <c r="S1" s="833"/>
      <c r="T1" s="833"/>
      <c r="U1" s="833"/>
      <c r="V1" s="833"/>
      <c r="W1" s="833"/>
      <c r="AA1" s="832" t="s">
        <v>235</v>
      </c>
      <c r="AB1" s="832"/>
      <c r="AC1" s="832"/>
      <c r="AD1" s="832"/>
      <c r="AE1" s="832"/>
      <c r="AF1" s="832"/>
      <c r="AG1" s="832"/>
    </row>
    <row r="2" spans="2:36" ht="18.75">
      <c r="B2" s="60" t="s">
        <v>150</v>
      </c>
      <c r="C2" s="60" t="s">
        <v>151</v>
      </c>
      <c r="E2" s="60" t="s">
        <v>152</v>
      </c>
      <c r="F2" s="60" t="s">
        <v>153</v>
      </c>
      <c r="H2" s="840" t="s">
        <v>339</v>
      </c>
      <c r="I2" s="194" t="s">
        <v>342</v>
      </c>
      <c r="J2" s="203">
        <v>25</v>
      </c>
      <c r="K2" s="203">
        <v>30</v>
      </c>
      <c r="L2" s="203">
        <v>35</v>
      </c>
      <c r="M2" s="203">
        <v>36</v>
      </c>
      <c r="N2" s="203">
        <v>38</v>
      </c>
      <c r="O2" s="203">
        <v>40</v>
      </c>
      <c r="P2" s="203">
        <v>42</v>
      </c>
      <c r="Q2" s="203">
        <v>45</v>
      </c>
      <c r="R2" s="203">
        <v>50</v>
      </c>
      <c r="S2" s="203">
        <v>55</v>
      </c>
      <c r="T2" s="204">
        <v>60</v>
      </c>
      <c r="U2" s="264"/>
      <c r="V2" s="264"/>
      <c r="X2" s="846" t="s">
        <v>339</v>
      </c>
      <c r="Y2" s="195" t="s">
        <v>341</v>
      </c>
      <c r="Z2" s="203">
        <v>25</v>
      </c>
      <c r="AA2" s="203">
        <v>30</v>
      </c>
      <c r="AB2" s="203">
        <v>35</v>
      </c>
      <c r="AC2" s="203">
        <v>36</v>
      </c>
      <c r="AD2" s="203">
        <v>38</v>
      </c>
      <c r="AE2" s="203">
        <v>40</v>
      </c>
      <c r="AF2" s="203">
        <v>42</v>
      </c>
      <c r="AG2" s="203">
        <v>45</v>
      </c>
      <c r="AH2" s="203">
        <v>50</v>
      </c>
      <c r="AI2" s="203">
        <v>55</v>
      </c>
      <c r="AJ2" s="204">
        <v>60</v>
      </c>
    </row>
    <row r="3" spans="2:36" ht="21" thickBot="1">
      <c r="B3" s="60" t="s">
        <v>154</v>
      </c>
      <c r="C3" s="60" t="s">
        <v>155</v>
      </c>
      <c r="E3" s="60"/>
      <c r="F3" s="60" t="s">
        <v>155</v>
      </c>
      <c r="H3" s="841"/>
      <c r="I3" s="193" t="s">
        <v>336</v>
      </c>
      <c r="J3" s="199" t="s">
        <v>189</v>
      </c>
      <c r="K3" s="199" t="s">
        <v>189</v>
      </c>
      <c r="L3" s="197">
        <v>18.5</v>
      </c>
      <c r="M3" s="197">
        <v>15.2</v>
      </c>
      <c r="N3" s="197">
        <v>10.5</v>
      </c>
      <c r="O3" s="197">
        <v>7.1</v>
      </c>
      <c r="P3" s="197">
        <v>5.6</v>
      </c>
      <c r="Q3" s="197">
        <v>4</v>
      </c>
      <c r="R3" s="197">
        <v>3.1</v>
      </c>
      <c r="S3" s="197">
        <v>2.7</v>
      </c>
      <c r="T3" s="198">
        <v>2.5</v>
      </c>
      <c r="U3" s="265"/>
      <c r="V3" s="265"/>
      <c r="X3" s="847"/>
      <c r="Y3" s="193" t="s">
        <v>336</v>
      </c>
      <c r="Z3" s="517" t="s">
        <v>189</v>
      </c>
      <c r="AA3" s="517" t="s">
        <v>189</v>
      </c>
      <c r="AB3" s="197">
        <v>18.5</v>
      </c>
      <c r="AC3" s="197">
        <v>16</v>
      </c>
      <c r="AD3" s="197">
        <v>12</v>
      </c>
      <c r="AE3" s="197">
        <v>10</v>
      </c>
      <c r="AF3" s="197">
        <v>8</v>
      </c>
      <c r="AG3" s="197">
        <v>6.5</v>
      </c>
      <c r="AH3" s="197">
        <v>5</v>
      </c>
      <c r="AI3" s="197">
        <v>4.5</v>
      </c>
      <c r="AJ3" s="198">
        <v>4.2</v>
      </c>
    </row>
    <row r="4" spans="2:36" ht="16.5" thickBot="1">
      <c r="B4" s="61">
        <v>100</v>
      </c>
      <c r="C4" s="57">
        <v>0.37</v>
      </c>
      <c r="E4" s="62">
        <v>1</v>
      </c>
      <c r="F4" s="63">
        <v>0.28000000000000003</v>
      </c>
      <c r="H4" s="127"/>
      <c r="I4" s="127"/>
      <c r="J4" s="127"/>
      <c r="K4" s="127"/>
      <c r="L4" s="127"/>
      <c r="M4" s="127"/>
      <c r="N4" s="127"/>
      <c r="O4" s="127"/>
      <c r="P4" s="127"/>
      <c r="Q4" s="127"/>
      <c r="R4" s="127"/>
      <c r="S4" s="127"/>
      <c r="AH4" s="126"/>
    </row>
    <row r="5" spans="2:36" ht="16.5">
      <c r="B5" s="64">
        <v>180</v>
      </c>
      <c r="C5" s="65">
        <v>0.57999999999999996</v>
      </c>
      <c r="E5" s="66">
        <v>2</v>
      </c>
      <c r="F5" s="67">
        <v>0.49</v>
      </c>
      <c r="H5" s="842" t="s">
        <v>338</v>
      </c>
      <c r="I5" s="202" t="s">
        <v>343</v>
      </c>
      <c r="J5" s="294">
        <v>0</v>
      </c>
      <c r="K5" s="294">
        <v>75</v>
      </c>
      <c r="L5" s="203">
        <v>80</v>
      </c>
      <c r="M5" s="203">
        <v>85</v>
      </c>
      <c r="N5" s="203">
        <v>90</v>
      </c>
      <c r="O5" s="203">
        <v>95</v>
      </c>
      <c r="P5" s="203">
        <v>96</v>
      </c>
      <c r="Q5" s="203">
        <v>97</v>
      </c>
      <c r="R5" s="203">
        <v>100</v>
      </c>
      <c r="S5" s="203">
        <v>102</v>
      </c>
      <c r="T5" s="203">
        <v>105</v>
      </c>
      <c r="U5" s="204">
        <v>106</v>
      </c>
      <c r="X5" s="844" t="s">
        <v>337</v>
      </c>
      <c r="Y5" s="196" t="s">
        <v>340</v>
      </c>
      <c r="Z5" s="203">
        <v>75</v>
      </c>
      <c r="AA5" s="203">
        <v>80</v>
      </c>
      <c r="AB5" s="203">
        <v>85</v>
      </c>
      <c r="AC5" s="203">
        <v>90</v>
      </c>
      <c r="AD5" s="203">
        <v>95</v>
      </c>
      <c r="AE5" s="203">
        <v>100</v>
      </c>
      <c r="AF5" s="204">
        <v>105</v>
      </c>
      <c r="AG5" s="126"/>
    </row>
    <row r="6" spans="2:36" ht="21" thickBot="1">
      <c r="B6" s="64">
        <v>225</v>
      </c>
      <c r="C6" s="65">
        <v>0.7</v>
      </c>
      <c r="E6" s="66">
        <v>3</v>
      </c>
      <c r="F6" s="67">
        <v>0.6</v>
      </c>
      <c r="H6" s="843"/>
      <c r="I6" s="193" t="s">
        <v>336</v>
      </c>
      <c r="J6" s="197">
        <v>1</v>
      </c>
      <c r="K6" s="197">
        <v>2.5</v>
      </c>
      <c r="L6" s="197">
        <v>3</v>
      </c>
      <c r="M6" s="197">
        <v>3.8</v>
      </c>
      <c r="N6" s="197">
        <v>5</v>
      </c>
      <c r="O6" s="197">
        <v>6.7</v>
      </c>
      <c r="P6" s="197">
        <v>7.4</v>
      </c>
      <c r="Q6" s="197">
        <v>8.1</v>
      </c>
      <c r="R6" s="197">
        <v>10</v>
      </c>
      <c r="S6" s="197">
        <v>12.1</v>
      </c>
      <c r="T6" s="197">
        <v>15.2</v>
      </c>
      <c r="U6" s="198">
        <v>20.9</v>
      </c>
      <c r="X6" s="845"/>
      <c r="Y6" s="193" t="s">
        <v>336</v>
      </c>
      <c r="Z6" s="200">
        <v>2.5</v>
      </c>
      <c r="AA6" s="200">
        <v>3</v>
      </c>
      <c r="AB6" s="200">
        <v>3.8</v>
      </c>
      <c r="AC6" s="200">
        <v>5</v>
      </c>
      <c r="AD6" s="200">
        <v>6.7</v>
      </c>
      <c r="AE6" s="200">
        <v>10</v>
      </c>
      <c r="AF6" s="201">
        <v>15.2</v>
      </c>
    </row>
    <row r="7" spans="2:36">
      <c r="B7" s="64">
        <v>300</v>
      </c>
      <c r="C7" s="65">
        <v>0.9</v>
      </c>
      <c r="E7" s="66">
        <v>4</v>
      </c>
      <c r="F7" s="67">
        <v>0.79</v>
      </c>
    </row>
    <row r="8" spans="2:36">
      <c r="B8" s="64">
        <v>375</v>
      </c>
      <c r="C8" s="65">
        <v>1.1000000000000001</v>
      </c>
      <c r="E8" s="66">
        <v>5</v>
      </c>
      <c r="F8" s="67">
        <v>0.98</v>
      </c>
      <c r="H8" s="375" t="e">
        <f>IF(γ=AJ2,AJ3,HLOOKUP(γ,V_Neqt50,2)+(INDEX(V_Neqt50,2,MATCH(γ,V_angles,1)+1)-HLOOKUP(γ,V_Neqt50,2))*(γ-HLOOKUP(γ,V_Neqt50,1))/(INDEX(V_Neqt50,1,MATCH(γ,V_angles,1)+1)-HLOOKUP(γ,V_Neqt50,1)))</f>
        <v>#VALUE!</v>
      </c>
    </row>
    <row r="9" spans="2:36">
      <c r="B9" s="64">
        <v>400</v>
      </c>
      <c r="C9" s="65">
        <v>1.17</v>
      </c>
      <c r="E9" s="66">
        <v>6</v>
      </c>
      <c r="F9" s="67">
        <v>1.17</v>
      </c>
      <c r="H9" s="375" t="e">
        <f>IF(γ=T2,T3,HLOOKUP(γ,V_Neqt,2)+(INDEX(V_Neqt,2,MATCH(γ,V_angles,1)+1)-HLOOKUP(γ,V_Neqt,2))*(γ-HLOOKUP(γ,V_Neqt,1))/(INDEX(V_Neqt,1,MATCH(γ,V_angles,1)+1)-HLOOKUP(γ,V_Neqt,1)))</f>
        <v>#VALUE!</v>
      </c>
    </row>
    <row r="10" spans="2:36">
      <c r="B10" s="64">
        <v>450</v>
      </c>
      <c r="C10" s="65">
        <v>1.3</v>
      </c>
      <c r="E10" s="66">
        <v>7</v>
      </c>
      <c r="F10" s="67">
        <v>1.31</v>
      </c>
      <c r="H10" s="375">
        <f>IF(β=U5,U6,HLOOKUP(β,U_Neqt,2)+(INDEX(U_Neqt,2,MATCH(β,U_angles,1)+1)-HLOOKUP(β,U_Neqt,2))*(β-HLOOKUP(β,U_Neqt,1))/(INDEX(U_Neqt,1,MATCH(β,U_angles,1)+1)-HLOOKUP(β,U_Neqt,1)))</f>
        <v>8.2266666666666683</v>
      </c>
      <c r="AB10" s="59" t="s">
        <v>132</v>
      </c>
      <c r="AC10" s="70"/>
    </row>
    <row r="11" spans="2:36">
      <c r="B11" s="64">
        <v>525</v>
      </c>
      <c r="C11" s="65">
        <v>1.45</v>
      </c>
      <c r="E11" s="66">
        <v>8</v>
      </c>
      <c r="F11" s="67">
        <v>1.45</v>
      </c>
    </row>
    <row r="12" spans="2:36">
      <c r="B12" s="64">
        <v>600</v>
      </c>
      <c r="C12" s="65">
        <v>1.6</v>
      </c>
      <c r="E12" s="66">
        <v>9</v>
      </c>
      <c r="F12" s="67">
        <v>1.59</v>
      </c>
    </row>
    <row r="13" spans="2:36">
      <c r="B13" s="64">
        <v>630</v>
      </c>
      <c r="C13" s="65">
        <v>1.66</v>
      </c>
      <c r="E13" s="66">
        <v>10</v>
      </c>
      <c r="F13" s="67">
        <v>1.73</v>
      </c>
    </row>
    <row r="14" spans="2:36">
      <c r="B14" s="64">
        <v>675</v>
      </c>
      <c r="C14" s="65">
        <v>1.75</v>
      </c>
      <c r="E14" s="66">
        <v>11</v>
      </c>
      <c r="F14" s="67">
        <v>1.87</v>
      </c>
      <c r="H14" s="375"/>
    </row>
    <row r="15" spans="2:36">
      <c r="B15" s="64">
        <v>750</v>
      </c>
      <c r="C15" s="65">
        <v>1.9</v>
      </c>
      <c r="E15" s="66">
        <v>12</v>
      </c>
      <c r="F15" s="67">
        <v>2.0099999999999998</v>
      </c>
    </row>
    <row r="16" spans="2:36">
      <c r="B16" s="64">
        <v>800</v>
      </c>
      <c r="C16" s="65">
        <v>2</v>
      </c>
      <c r="E16" s="66">
        <v>13</v>
      </c>
      <c r="F16" s="67">
        <v>2.15</v>
      </c>
    </row>
    <row r="17" spans="2:9">
      <c r="B17" s="64">
        <v>825</v>
      </c>
      <c r="C17" s="65">
        <v>2.0499999999999998</v>
      </c>
      <c r="E17" s="66">
        <v>14</v>
      </c>
      <c r="F17" s="67">
        <v>2.29</v>
      </c>
      <c r="H17" s="120"/>
    </row>
    <row r="18" spans="2:9">
      <c r="B18" s="64">
        <v>900</v>
      </c>
      <c r="C18" s="65">
        <v>2.2000000000000002</v>
      </c>
      <c r="E18" s="66">
        <v>15</v>
      </c>
      <c r="F18" s="67">
        <v>2.4300000000000002</v>
      </c>
    </row>
    <row r="19" spans="2:9">
      <c r="B19" s="64">
        <v>975</v>
      </c>
      <c r="C19" s="65">
        <v>2.35</v>
      </c>
      <c r="E19" s="66">
        <v>16</v>
      </c>
      <c r="F19" s="67">
        <v>2.57</v>
      </c>
      <c r="H19" s="120"/>
    </row>
    <row r="20" spans="2:9">
      <c r="B20" s="64">
        <v>1000</v>
      </c>
      <c r="C20" s="65">
        <v>2.4</v>
      </c>
      <c r="E20" s="66">
        <v>17</v>
      </c>
      <c r="F20" s="67">
        <v>2.71</v>
      </c>
    </row>
    <row r="21" spans="2:9">
      <c r="B21" s="64">
        <v>1050</v>
      </c>
      <c r="C21" s="65">
        <v>2.5</v>
      </c>
      <c r="E21" s="66">
        <v>18</v>
      </c>
      <c r="F21" s="67">
        <v>2.85</v>
      </c>
    </row>
    <row r="22" spans="2:9">
      <c r="B22" s="64">
        <v>1125</v>
      </c>
      <c r="C22" s="65">
        <v>2.65</v>
      </c>
      <c r="E22" s="66">
        <v>19</v>
      </c>
      <c r="F22" s="67">
        <v>2.99</v>
      </c>
      <c r="I22" s="59">
        <f>VLOOKUP(Q,Max_Car_Area,2)+(VLOOKUP(INDEX(loads,MATCH(Q,loads,1)+1),Max_Car_Area,2)-VLOOKUP(Q,Max_Car_Area,2))*(Q-INDEX(loads,MATCH(Q,loads,1)))/(INDEX(loads,MATCH(Q,loads,1)+1)-INDEX(loads,MATCH(Q,loads,1)))</f>
        <v>2</v>
      </c>
    </row>
    <row r="23" spans="2:9" ht="16.5" thickBot="1">
      <c r="B23" s="64">
        <v>1200</v>
      </c>
      <c r="C23" s="65">
        <v>2.8</v>
      </c>
      <c r="E23" s="68">
        <v>20</v>
      </c>
      <c r="F23" s="69">
        <v>3.13</v>
      </c>
    </row>
    <row r="24" spans="2:9">
      <c r="B24" s="64">
        <v>1250</v>
      </c>
      <c r="C24" s="65">
        <v>2.9</v>
      </c>
      <c r="E24" s="834" t="s">
        <v>156</v>
      </c>
      <c r="F24" s="835"/>
      <c r="H24" s="59" t="s">
        <v>132</v>
      </c>
    </row>
    <row r="25" spans="2:9">
      <c r="B25" s="64">
        <v>1275</v>
      </c>
      <c r="C25" s="65">
        <v>2.95</v>
      </c>
      <c r="E25" s="836"/>
      <c r="F25" s="837"/>
    </row>
    <row r="26" spans="2:9" ht="16.5" thickBot="1">
      <c r="B26" s="64">
        <v>1350</v>
      </c>
      <c r="C26" s="65">
        <v>3.1</v>
      </c>
      <c r="E26" s="838"/>
      <c r="F26" s="839"/>
    </row>
    <row r="27" spans="2:9">
      <c r="B27" s="64">
        <v>1425</v>
      </c>
      <c r="C27" s="65">
        <v>3.25</v>
      </c>
    </row>
    <row r="28" spans="2:9">
      <c r="B28" s="64">
        <v>1500</v>
      </c>
      <c r="C28" s="65">
        <v>3.4</v>
      </c>
    </row>
    <row r="29" spans="2:9">
      <c r="B29" s="64">
        <v>1600</v>
      </c>
      <c r="C29" s="65">
        <v>3.56</v>
      </c>
    </row>
    <row r="30" spans="2:9">
      <c r="B30" s="64">
        <v>2000</v>
      </c>
      <c r="C30" s="65">
        <v>4.2</v>
      </c>
    </row>
    <row r="31" spans="2:9" ht="16.5" thickBot="1">
      <c r="B31" s="71">
        <v>2500</v>
      </c>
      <c r="C31" s="72">
        <v>5</v>
      </c>
    </row>
    <row r="32" spans="2:9">
      <c r="B32" s="834" t="s">
        <v>157</v>
      </c>
      <c r="C32" s="835"/>
    </row>
    <row r="33" spans="2:3" ht="16.5" thickBot="1">
      <c r="B33" s="838"/>
      <c r="C33" s="839"/>
    </row>
    <row r="34" spans="2:3">
      <c r="B34" s="834" t="s">
        <v>158</v>
      </c>
      <c r="C34" s="835"/>
    </row>
    <row r="35" spans="2:3" ht="16.5" thickBot="1">
      <c r="B35" s="838"/>
      <c r="C35" s="839"/>
    </row>
  </sheetData>
  <sheetProtection algorithmName="SHA-512" hashValue="KFOgEuYeuk0riV58CwoVQOVNXml1lSUV4FVMfBiVWZAk9GwE98pu59bOBLKxswRz/IwqPlOq4oqngg7w70vKsg==" saltValue="t/w+gm6HMfdZHKw56Now7Q==" spinCount="100000" sheet="1" objects="1" scenarios="1" selectLockedCells="1" selectUnlockedCells="1"/>
  <customSheetViews>
    <customSheetView guid="{0B2838C1-64E2-4766-B82E-FE301CB42C7D}" showGridLines="0" state="hidden" topLeftCell="A3">
      <selection activeCell="G30" sqref="G30"/>
      <pageMargins left="0.7" right="0.7" top="0.75" bottom="0.75" header="0.3" footer="0.3"/>
      <pageSetup orientation="portrait" r:id="rId1"/>
    </customSheetView>
    <customSheetView guid="{ADB28B25-780E-4315-A7F7-F519CAE45D94}" showGridLines="0">
      <selection activeCell="J5" sqref="J5:U6"/>
      <pageMargins left="0.7" right="0.7" top="0.75" bottom="0.75" header="0.3" footer="0.3"/>
      <pageSetup orientation="portrait" r:id="rId2"/>
    </customSheetView>
  </customSheetViews>
  <mergeCells count="9">
    <mergeCell ref="AA1:AG1"/>
    <mergeCell ref="L1:W1"/>
    <mergeCell ref="E24:F26"/>
    <mergeCell ref="B32:C33"/>
    <mergeCell ref="B34:C35"/>
    <mergeCell ref="H2:H3"/>
    <mergeCell ref="H5:H6"/>
    <mergeCell ref="X5:X6"/>
    <mergeCell ref="X2:X3"/>
  </mergeCells>
  <pageMargins left="0.7" right="0.7" top="0.75" bottom="0.75" header="0.3" footer="0.3"/>
  <pageSetup orientation="portrait" r:id="rId3"/>
  <headerFooter>
    <oddHeader>&amp;L&amp;12&amp;"Tahoma"شماره پرونده: 8798_x000D_شناسه ملي آسانسور: 7899874342</oddHeader>
  </headerFooter>
  <drawing r:id="rId4"/>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Pulley"/>
  <dimension ref="A1:U18"/>
  <sheetViews>
    <sheetView showGridLines="0" showRowColHeaders="0" rightToLeft="1" zoomScaleNormal="100" workbookViewId="0">
      <selection activeCell="K14" sqref="K14"/>
    </sheetView>
  </sheetViews>
  <sheetFormatPr defaultRowHeight="18.75"/>
  <cols>
    <col min="1" max="1" width="3.69921875" customWidth="1"/>
    <col min="2" max="2" width="12.3984375" bestFit="1" customWidth="1"/>
    <col min="3" max="3" width="8.19921875" customWidth="1"/>
    <col min="4" max="4" width="6.69921875" customWidth="1"/>
    <col min="5" max="5" width="8.19921875" customWidth="1"/>
    <col min="6" max="6" width="4.296875" bestFit="1" customWidth="1"/>
    <col min="7" max="7" width="3.69921875" bestFit="1" customWidth="1"/>
    <col min="8" max="8" width="4.296875" bestFit="1" customWidth="1"/>
    <col min="9" max="9" width="4.59765625" bestFit="1" customWidth="1"/>
    <col min="10" max="13" width="4.296875" bestFit="1" customWidth="1"/>
    <col min="14" max="15" width="5.296875" bestFit="1" customWidth="1"/>
  </cols>
  <sheetData>
    <row r="1" spans="1:21">
      <c r="A1" s="848" t="s">
        <v>400</v>
      </c>
      <c r="B1" s="848"/>
      <c r="C1" s="848"/>
      <c r="D1" s="848"/>
      <c r="E1" s="848"/>
      <c r="F1" s="848"/>
      <c r="G1" s="848"/>
      <c r="H1" s="848"/>
      <c r="I1" s="848"/>
      <c r="J1" s="848"/>
      <c r="K1" s="848"/>
      <c r="L1" s="848"/>
      <c r="M1" s="848"/>
      <c r="N1" s="848"/>
      <c r="O1" s="848"/>
      <c r="P1" s="113"/>
      <c r="Q1" s="114"/>
      <c r="R1" s="114"/>
      <c r="S1" s="115"/>
      <c r="T1" s="105"/>
    </row>
    <row r="2" spans="1:21">
      <c r="A2" s="116"/>
      <c r="C2" s="849" t="s">
        <v>223</v>
      </c>
      <c r="D2" s="850"/>
      <c r="E2" s="850"/>
      <c r="F2" s="850"/>
      <c r="G2" s="850"/>
      <c r="H2" s="850"/>
      <c r="I2" s="850"/>
      <c r="J2" s="850"/>
      <c r="K2" s="850"/>
      <c r="L2" s="850"/>
      <c r="M2" s="850"/>
      <c r="N2" s="850"/>
      <c r="O2" s="851"/>
      <c r="P2" s="115"/>
      <c r="Q2" s="115"/>
      <c r="R2" s="115"/>
      <c r="S2" s="115"/>
      <c r="T2" s="105"/>
    </row>
    <row r="3" spans="1:21">
      <c r="A3" s="118"/>
      <c r="B3" s="119" t="s">
        <v>210</v>
      </c>
      <c r="C3" s="109">
        <v>0</v>
      </c>
      <c r="D3" s="109">
        <v>240</v>
      </c>
      <c r="E3" s="117">
        <v>320</v>
      </c>
      <c r="F3" s="109">
        <v>330</v>
      </c>
      <c r="G3" s="109">
        <v>400</v>
      </c>
      <c r="H3" s="109">
        <v>410</v>
      </c>
      <c r="I3" s="109">
        <v>440</v>
      </c>
      <c r="J3" s="109">
        <v>480</v>
      </c>
      <c r="K3" s="109">
        <v>520</v>
      </c>
      <c r="L3" s="109">
        <v>540</v>
      </c>
      <c r="M3" s="109">
        <v>560</v>
      </c>
      <c r="N3" s="109">
        <v>580</v>
      </c>
      <c r="O3" s="109">
        <v>600</v>
      </c>
      <c r="P3" s="111"/>
      <c r="Q3" s="111"/>
      <c r="R3" s="111"/>
      <c r="S3" s="111"/>
    </row>
    <row r="4" spans="1:21">
      <c r="A4" s="104">
        <v>1</v>
      </c>
      <c r="B4" s="110">
        <v>3</v>
      </c>
      <c r="C4" s="99">
        <v>0</v>
      </c>
      <c r="D4" s="225">
        <v>6.2</v>
      </c>
      <c r="E4" s="99">
        <v>9</v>
      </c>
      <c r="F4" s="225">
        <f>E4+(G4-E4)*(F$3^2-E$3^2)/(G$3^2-E$3^2)</f>
        <v>9.4513888888888893</v>
      </c>
      <c r="G4" s="99">
        <v>13</v>
      </c>
      <c r="H4" s="225">
        <f t="shared" ref="H4:H13" si="0">G4+(I4-G4)*(H$3^2-G$3^2)/(I$3^2-G$3^2)</f>
        <v>15.049107142857142</v>
      </c>
      <c r="I4" s="99">
        <v>21.5</v>
      </c>
      <c r="J4" s="225">
        <v>28</v>
      </c>
      <c r="K4" s="226">
        <f>J4+(J4-I4)*(K$3^2-J$3^2)/(J$3^2-I$3^2)</f>
        <v>35.065217391304344</v>
      </c>
      <c r="L4" s="226">
        <f t="shared" ref="L4:L13" si="1">J4+(J4-I4)*(L$3^2-J$3^2)/(J$3^2-I$3^2)</f>
        <v>38.809782608695656</v>
      </c>
      <c r="M4" s="225">
        <f t="shared" ref="M4:M13" si="2">L4+(L4-J4)*(M$3^2-L$3^2)/(L$3^2-J$3^2)</f>
        <v>42.695652173913047</v>
      </c>
      <c r="N4" s="226">
        <f>M4+(M4-L4)*(N$3^2-M$3^2)/(M$3^2-L$3^2)</f>
        <v>46.722826086956523</v>
      </c>
      <c r="O4" s="225">
        <f>N4+(N4-M4)*(O$3^2-N$3^2)/(N$3^2-M$3^2)</f>
        <v>50.891304347826086</v>
      </c>
      <c r="P4" s="112"/>
      <c r="Q4" s="112"/>
      <c r="R4" s="112"/>
      <c r="S4" s="112"/>
    </row>
    <row r="5" spans="1:21">
      <c r="A5" s="104">
        <v>2</v>
      </c>
      <c r="B5" s="110">
        <v>4</v>
      </c>
      <c r="C5" s="99">
        <v>0</v>
      </c>
      <c r="D5" s="225">
        <v>7</v>
      </c>
      <c r="E5" s="99">
        <v>11</v>
      </c>
      <c r="F5" s="225">
        <f t="shared" ref="F5:F13" si="3">E5+(G5-E5)*(F$3^2-E$3^2)/(G$3^2-E$3^2)</f>
        <v>11.564236111111111</v>
      </c>
      <c r="G5" s="99">
        <v>16</v>
      </c>
      <c r="H5" s="225">
        <f t="shared" si="0"/>
        <v>18.169642857142858</v>
      </c>
      <c r="I5" s="99">
        <v>25</v>
      </c>
      <c r="J5" s="225">
        <v>32</v>
      </c>
      <c r="K5" s="226">
        <f t="shared" ref="K5:K13" si="4">J5+(J5-I5)*(K$3^2-J$3^2)/(J$3^2-I$3^2)</f>
        <v>39.608695652173914</v>
      </c>
      <c r="L5" s="226">
        <f t="shared" si="1"/>
        <v>43.641304347826086</v>
      </c>
      <c r="M5" s="225">
        <f t="shared" si="2"/>
        <v>47.826086956521735</v>
      </c>
      <c r="N5" s="226">
        <f t="shared" ref="N5:N13" si="5">M5+(M5-L5)*(N$3^2-M$3^2)/(M$3^2-L$3^2)</f>
        <v>52.16304347826086</v>
      </c>
      <c r="O5" s="225">
        <f t="shared" ref="O5:O13" si="6">N5+(N5-M5)*(O$3^2-N$3^2)/(N$3^2-M$3^2)</f>
        <v>56.652173913043463</v>
      </c>
      <c r="P5" s="112"/>
      <c r="Q5" s="112"/>
      <c r="R5" s="112"/>
      <c r="S5" s="112"/>
    </row>
    <row r="6" spans="1:21">
      <c r="A6" s="104">
        <v>3</v>
      </c>
      <c r="B6" s="109">
        <v>5</v>
      </c>
      <c r="C6" s="99">
        <v>0</v>
      </c>
      <c r="D6" s="225">
        <v>7.8</v>
      </c>
      <c r="E6" s="99">
        <v>12.5</v>
      </c>
      <c r="F6" s="225">
        <f t="shared" si="3"/>
        <v>13.233506944444445</v>
      </c>
      <c r="G6" s="99">
        <v>19</v>
      </c>
      <c r="H6" s="225">
        <f t="shared" si="0"/>
        <v>21.290178571428573</v>
      </c>
      <c r="I6" s="99">
        <v>28.5</v>
      </c>
      <c r="J6" s="225">
        <v>36</v>
      </c>
      <c r="K6" s="226">
        <f t="shared" si="4"/>
        <v>44.152173913043477</v>
      </c>
      <c r="L6" s="226">
        <f t="shared" si="1"/>
        <v>48.472826086956523</v>
      </c>
      <c r="M6" s="225">
        <f t="shared" si="2"/>
        <v>52.956521739130437</v>
      </c>
      <c r="N6" s="226">
        <f t="shared" si="5"/>
        <v>57.603260869565219</v>
      </c>
      <c r="O6" s="225">
        <f t="shared" si="6"/>
        <v>62.413043478260867</v>
      </c>
      <c r="P6" s="112"/>
      <c r="Q6" s="112"/>
      <c r="R6" s="112"/>
      <c r="S6" s="112"/>
    </row>
    <row r="7" spans="1:21">
      <c r="A7" s="104">
        <v>4</v>
      </c>
      <c r="B7" s="109">
        <v>6</v>
      </c>
      <c r="C7" s="99">
        <v>0</v>
      </c>
      <c r="D7" s="225">
        <v>8.1999999999999993</v>
      </c>
      <c r="E7" s="99">
        <v>13</v>
      </c>
      <c r="F7" s="225">
        <f t="shared" si="3"/>
        <v>13.789930555555555</v>
      </c>
      <c r="G7" s="99">
        <v>20</v>
      </c>
      <c r="H7" s="225">
        <f t="shared" si="0"/>
        <v>22.290178571428573</v>
      </c>
      <c r="I7" s="99">
        <v>29.5</v>
      </c>
      <c r="J7" s="225">
        <v>37.5</v>
      </c>
      <c r="K7" s="226">
        <f t="shared" si="4"/>
        <v>46.195652173913047</v>
      </c>
      <c r="L7" s="226">
        <f t="shared" si="1"/>
        <v>50.804347826086953</v>
      </c>
      <c r="M7" s="225">
        <f t="shared" si="2"/>
        <v>55.586956521739125</v>
      </c>
      <c r="N7" s="226">
        <f t="shared" si="5"/>
        <v>60.543478260869556</v>
      </c>
      <c r="O7" s="225">
        <f t="shared" si="6"/>
        <v>65.673913043478251</v>
      </c>
      <c r="P7" s="112"/>
      <c r="Q7" s="112"/>
      <c r="R7" s="112"/>
      <c r="S7" s="112"/>
    </row>
    <row r="8" spans="1:21">
      <c r="A8" s="104">
        <v>5</v>
      </c>
      <c r="B8" s="109">
        <v>7</v>
      </c>
      <c r="C8" s="99">
        <v>0</v>
      </c>
      <c r="D8" s="225">
        <v>9</v>
      </c>
      <c r="E8" s="99">
        <v>14.5</v>
      </c>
      <c r="F8" s="225">
        <f t="shared" si="3"/>
        <v>15.346354166666666</v>
      </c>
      <c r="G8" s="99">
        <v>22</v>
      </c>
      <c r="H8" s="225">
        <f t="shared" si="0"/>
        <v>24.651785714285715</v>
      </c>
      <c r="I8" s="99">
        <v>33</v>
      </c>
      <c r="J8" s="225">
        <v>42</v>
      </c>
      <c r="K8" s="226">
        <f t="shared" si="4"/>
        <v>51.782608695652172</v>
      </c>
      <c r="L8" s="226">
        <f t="shared" si="1"/>
        <v>56.967391304347828</v>
      </c>
      <c r="M8" s="225">
        <f t="shared" si="2"/>
        <v>62.347826086956523</v>
      </c>
      <c r="N8" s="226">
        <f t="shared" si="5"/>
        <v>67.923913043478265</v>
      </c>
      <c r="O8" s="225">
        <f t="shared" si="6"/>
        <v>73.695652173913047</v>
      </c>
      <c r="P8" s="112"/>
      <c r="Q8" s="112"/>
      <c r="R8" s="112"/>
      <c r="S8" s="112"/>
    </row>
    <row r="9" spans="1:21">
      <c r="A9" s="104">
        <v>6</v>
      </c>
      <c r="B9" s="109">
        <v>8</v>
      </c>
      <c r="C9" s="99">
        <v>0</v>
      </c>
      <c r="D9" s="225">
        <v>10</v>
      </c>
      <c r="E9" s="99">
        <v>16</v>
      </c>
      <c r="F9" s="225">
        <f t="shared" si="3"/>
        <v>16.902777777777779</v>
      </c>
      <c r="G9" s="99">
        <v>24</v>
      </c>
      <c r="H9" s="225">
        <f t="shared" si="0"/>
        <v>26.892857142857142</v>
      </c>
      <c r="I9" s="99">
        <v>36</v>
      </c>
      <c r="J9" s="225">
        <v>46</v>
      </c>
      <c r="K9" s="226">
        <f t="shared" si="4"/>
        <v>56.869565217391305</v>
      </c>
      <c r="L9" s="226">
        <f t="shared" si="1"/>
        <v>62.630434782608695</v>
      </c>
      <c r="M9" s="225">
        <f t="shared" si="2"/>
        <v>68.608695652173907</v>
      </c>
      <c r="N9" s="226">
        <f t="shared" si="5"/>
        <v>74.804347826086939</v>
      </c>
      <c r="O9" s="225">
        <f t="shared" si="6"/>
        <v>81.2173913043478</v>
      </c>
      <c r="P9" s="112"/>
      <c r="Q9" s="112"/>
      <c r="R9" s="112"/>
      <c r="S9" s="112"/>
    </row>
    <row r="10" spans="1:21">
      <c r="A10" s="104">
        <v>7</v>
      </c>
      <c r="B10" s="109">
        <v>9</v>
      </c>
      <c r="C10" s="99">
        <v>0</v>
      </c>
      <c r="D10" s="225">
        <v>11</v>
      </c>
      <c r="E10" s="99">
        <v>17.5</v>
      </c>
      <c r="F10" s="225">
        <f t="shared" si="3"/>
        <v>18.459201388888889</v>
      </c>
      <c r="G10" s="99">
        <v>26</v>
      </c>
      <c r="H10" s="225">
        <f t="shared" si="0"/>
        <v>29.133928571428573</v>
      </c>
      <c r="I10" s="99">
        <v>39</v>
      </c>
      <c r="J10" s="225">
        <v>50</v>
      </c>
      <c r="K10" s="226">
        <f t="shared" si="4"/>
        <v>61.956521739130437</v>
      </c>
      <c r="L10" s="226">
        <f t="shared" si="1"/>
        <v>68.293478260869563</v>
      </c>
      <c r="M10" s="225">
        <f t="shared" si="2"/>
        <v>74.869565217391298</v>
      </c>
      <c r="N10" s="226">
        <f t="shared" si="5"/>
        <v>81.684782608695642</v>
      </c>
      <c r="O10" s="225">
        <f t="shared" si="6"/>
        <v>88.739130434782595</v>
      </c>
    </row>
    <row r="11" spans="1:21">
      <c r="A11" s="104">
        <v>8</v>
      </c>
      <c r="B11" s="109">
        <v>10</v>
      </c>
      <c r="C11" s="99">
        <v>0</v>
      </c>
      <c r="D11" s="225">
        <v>12</v>
      </c>
      <c r="E11" s="99">
        <v>19</v>
      </c>
      <c r="F11" s="225">
        <f t="shared" si="3"/>
        <v>20.015625</v>
      </c>
      <c r="G11" s="99">
        <v>28</v>
      </c>
      <c r="H11" s="225">
        <f t="shared" si="0"/>
        <v>31.375</v>
      </c>
      <c r="I11" s="99">
        <v>42</v>
      </c>
      <c r="J11" s="225">
        <v>54</v>
      </c>
      <c r="K11" s="226">
        <f t="shared" si="4"/>
        <v>67.043478260869563</v>
      </c>
      <c r="L11" s="226">
        <f t="shared" si="1"/>
        <v>73.956521739130437</v>
      </c>
      <c r="M11" s="225">
        <f t="shared" si="2"/>
        <v>81.130434782608702</v>
      </c>
      <c r="N11" s="226">
        <f t="shared" si="5"/>
        <v>88.565217391304358</v>
      </c>
      <c r="O11" s="225">
        <f t="shared" si="6"/>
        <v>96.260869565217405</v>
      </c>
    </row>
    <row r="12" spans="1:21">
      <c r="A12" s="104">
        <v>9</v>
      </c>
      <c r="B12" s="109">
        <v>11</v>
      </c>
      <c r="C12" s="99">
        <v>0</v>
      </c>
      <c r="D12" s="225">
        <v>13</v>
      </c>
      <c r="E12" s="99">
        <v>20.5</v>
      </c>
      <c r="F12" s="225">
        <f t="shared" si="3"/>
        <v>21.572048611111111</v>
      </c>
      <c r="G12" s="99">
        <v>30</v>
      </c>
      <c r="H12" s="225">
        <f t="shared" si="0"/>
        <v>33.616071428571431</v>
      </c>
      <c r="I12" s="99">
        <v>45</v>
      </c>
      <c r="J12" s="225">
        <v>58</v>
      </c>
      <c r="K12" s="226">
        <f t="shared" si="4"/>
        <v>72.130434782608688</v>
      </c>
      <c r="L12" s="226">
        <f t="shared" si="1"/>
        <v>79.619565217391312</v>
      </c>
      <c r="M12" s="225">
        <f t="shared" si="2"/>
        <v>87.391304347826093</v>
      </c>
      <c r="N12" s="226">
        <f t="shared" si="5"/>
        <v>95.445652173913047</v>
      </c>
      <c r="O12" s="225">
        <f t="shared" si="6"/>
        <v>103.78260869565217</v>
      </c>
    </row>
    <row r="13" spans="1:21" ht="19.5" thickBot="1">
      <c r="A13" s="227">
        <v>10</v>
      </c>
      <c r="B13" s="228">
        <v>12</v>
      </c>
      <c r="C13" s="229">
        <v>0</v>
      </c>
      <c r="D13" s="230">
        <v>14</v>
      </c>
      <c r="E13" s="229">
        <v>22</v>
      </c>
      <c r="F13" s="225">
        <f t="shared" si="3"/>
        <v>23.128472222222221</v>
      </c>
      <c r="G13" s="99">
        <v>32</v>
      </c>
      <c r="H13" s="225">
        <f t="shared" si="0"/>
        <v>35.857142857142854</v>
      </c>
      <c r="I13" s="99">
        <v>48</v>
      </c>
      <c r="J13" s="225">
        <v>62</v>
      </c>
      <c r="K13" s="226">
        <f t="shared" si="4"/>
        <v>77.217391304347828</v>
      </c>
      <c r="L13" s="226">
        <f t="shared" si="1"/>
        <v>85.282608695652172</v>
      </c>
      <c r="M13" s="225">
        <f t="shared" si="2"/>
        <v>93.65217391304347</v>
      </c>
      <c r="N13" s="226">
        <f t="shared" si="5"/>
        <v>102.32608695652172</v>
      </c>
      <c r="O13" s="225">
        <f t="shared" si="6"/>
        <v>111.30434782608693</v>
      </c>
      <c r="P13" s="105"/>
      <c r="Q13" s="105"/>
      <c r="R13" s="105"/>
    </row>
    <row r="14" spans="1:21" ht="19.5" thickBot="1">
      <c r="A14" s="852" t="s">
        <v>382</v>
      </c>
      <c r="B14" s="853"/>
      <c r="C14" s="853"/>
      <c r="D14" s="853"/>
      <c r="E14" s="854"/>
    </row>
    <row r="15" spans="1:21">
      <c r="A15" s="231"/>
      <c r="B15" s="232" t="s">
        <v>377</v>
      </c>
      <c r="C15" s="232" t="s">
        <v>218</v>
      </c>
      <c r="D15" s="233" t="s">
        <v>381</v>
      </c>
      <c r="E15" s="234"/>
      <c r="G15" s="105"/>
      <c r="H15" s="105"/>
      <c r="I15" s="105"/>
      <c r="J15" s="105"/>
      <c r="K15" s="105"/>
      <c r="L15" s="105"/>
      <c r="M15" s="105"/>
      <c r="N15" s="105"/>
      <c r="O15" s="105"/>
      <c r="P15" s="105"/>
      <c r="Q15" s="105"/>
    </row>
    <row r="16" spans="1:21">
      <c r="A16" s="235">
        <v>1</v>
      </c>
      <c r="B16" s="232" t="s">
        <v>374</v>
      </c>
      <c r="C16" s="236">
        <v>0.85</v>
      </c>
      <c r="D16" s="233" t="s">
        <v>378</v>
      </c>
      <c r="E16" s="234"/>
      <c r="U16" s="106"/>
    </row>
    <row r="17" spans="1:5">
      <c r="A17" s="235">
        <v>2</v>
      </c>
      <c r="B17" s="232" t="s">
        <v>375</v>
      </c>
      <c r="C17" s="236">
        <v>0.9</v>
      </c>
      <c r="D17" s="233" t="s">
        <v>379</v>
      </c>
      <c r="E17" s="234"/>
    </row>
    <row r="18" spans="1:5" ht="19.5" thickBot="1">
      <c r="A18" s="237">
        <v>3</v>
      </c>
      <c r="B18" s="238" t="s">
        <v>376</v>
      </c>
      <c r="C18" s="239">
        <v>0.95</v>
      </c>
      <c r="D18" s="239" t="s">
        <v>380</v>
      </c>
      <c r="E18" s="240"/>
    </row>
  </sheetData>
  <sheetProtection algorithmName="SHA-512" hashValue="VdOzzVvNBKYubvSVn+fHEEoOXut3f5J/yx1uri+XHaZ/Dt62BY+UJBMtgH46WI4bc/E7QwfXWuZ1XbQY/x0W1w==" saltValue="7iLVB/qhj9UAVWlK6S8rmg==" spinCount="100000" sheet="1" objects="1" scenarios="1" selectLockedCells="1" selectUnlockedCells="1"/>
  <customSheetViews>
    <customSheetView guid="{0B2838C1-64E2-4766-B82E-FE301CB42C7D}">
      <selection activeCell="C4" sqref="C4"/>
      <pageMargins left="0.7" right="0.7" top="0.75" bottom="0.75" header="0.3" footer="0.3"/>
    </customSheetView>
    <customSheetView guid="{ADB28B25-780E-4315-A7F7-F519CAE45D94}" showGridLines="0" state="hidden">
      <selection activeCell="K14" sqref="K14"/>
      <pageMargins left="0.7" right="0.7" top="0.75" bottom="0.75" header="0.3" footer="0.3"/>
      <pageSetup orientation="portrait" r:id="rId1"/>
    </customSheetView>
  </customSheetViews>
  <mergeCells count="3">
    <mergeCell ref="A1:O1"/>
    <mergeCell ref="C2:O2"/>
    <mergeCell ref="A14:E14"/>
  </mergeCells>
  <pageMargins left="0.7" right="0.7" top="0.75" bottom="0.75" header="0.3" footer="0.3"/>
  <pageSetup orientation="portrait" r:id="rId2"/>
  <headerFooter>
    <oddHeader>&amp;L&amp;12&amp;"Tahoma"شماره پرونده: 8798_x000D_شناسه ملي آسانسور: 7899874342</oddHeader>
  </headerFooter>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Ropes">
    <tabColor theme="3" tint="0.39997558519241921"/>
  </sheetPr>
  <dimension ref="A1:W40"/>
  <sheetViews>
    <sheetView showGridLines="0" showRowColHeaders="0" rightToLeft="1" zoomScaleNormal="100" zoomScaleSheetLayoutView="100" workbookViewId="0">
      <pane xSplit="1" ySplit="4" topLeftCell="B5" activePane="bottomRight" state="frozen"/>
      <selection pane="topRight" activeCell="B1" sqref="B1"/>
      <selection pane="bottomLeft" activeCell="A5" sqref="A5"/>
      <selection pane="bottomRight" activeCell="T2" sqref="T2:U2"/>
    </sheetView>
  </sheetViews>
  <sheetFormatPr defaultRowHeight="18.75"/>
  <cols>
    <col min="1" max="1" width="4" bestFit="1" customWidth="1"/>
    <col min="2" max="2" width="8.296875" customWidth="1"/>
    <col min="3" max="3" width="6.69921875" bestFit="1" customWidth="1"/>
    <col min="4" max="4" width="8.19921875" customWidth="1"/>
    <col min="5" max="5" width="5.69921875" bestFit="1" customWidth="1"/>
    <col min="6" max="6" width="6.3984375" bestFit="1" customWidth="1"/>
    <col min="7" max="8" width="5.69921875" bestFit="1" customWidth="1"/>
    <col min="9" max="9" width="6.5" customWidth="1"/>
    <col min="10" max="10" width="6.09765625" bestFit="1" customWidth="1"/>
    <col min="11" max="11" width="5.69921875" bestFit="1" customWidth="1"/>
    <col min="12" max="12" width="6.3984375" bestFit="1" customWidth="1"/>
    <col min="13" max="13" width="5.69921875" bestFit="1" customWidth="1"/>
    <col min="14" max="14" width="6.3984375" bestFit="1" customWidth="1"/>
    <col min="15" max="15" width="5.69921875" bestFit="1" customWidth="1"/>
    <col min="16" max="16" width="6.3984375" bestFit="1" customWidth="1"/>
    <col min="17" max="17" width="5.69921875" bestFit="1" customWidth="1"/>
    <col min="18" max="18" width="6.3984375" bestFit="1" customWidth="1"/>
    <col min="19" max="19" width="5.69921875" bestFit="1" customWidth="1"/>
    <col min="20" max="20" width="6.3984375" bestFit="1" customWidth="1"/>
    <col min="21" max="21" width="5.69921875" bestFit="1" customWidth="1"/>
    <col min="22" max="22" width="6.3984375" bestFit="1" customWidth="1"/>
    <col min="23" max="23" width="7.3984375" customWidth="1"/>
  </cols>
  <sheetData>
    <row r="1" spans="1:23" ht="19.5" thickBot="1">
      <c r="A1" s="343" t="s">
        <v>345</v>
      </c>
      <c r="B1" s="869" t="s">
        <v>423</v>
      </c>
      <c r="C1" s="870"/>
      <c r="D1" s="870"/>
      <c r="E1" s="870"/>
      <c r="F1" s="870"/>
      <c r="G1" s="871" t="s">
        <v>424</v>
      </c>
      <c r="H1" s="871"/>
      <c r="I1" s="871"/>
      <c r="J1" s="871"/>
      <c r="K1" s="872"/>
      <c r="L1" s="869" t="s">
        <v>362</v>
      </c>
      <c r="M1" s="870"/>
      <c r="N1" s="870"/>
      <c r="O1" s="870"/>
      <c r="P1" s="871" t="s">
        <v>425</v>
      </c>
      <c r="Q1" s="871"/>
      <c r="R1" s="871"/>
      <c r="S1" s="872"/>
      <c r="T1" s="875" t="s">
        <v>368</v>
      </c>
      <c r="U1" s="876"/>
      <c r="V1" s="873" t="s">
        <v>766</v>
      </c>
      <c r="W1" s="874"/>
    </row>
    <row r="2" spans="1:23" s="301" customFormat="1" ht="12">
      <c r="A2" s="344" t="s">
        <v>347</v>
      </c>
      <c r="B2" s="878" t="s">
        <v>426</v>
      </c>
      <c r="C2" s="879"/>
      <c r="D2" s="862" t="s">
        <v>427</v>
      </c>
      <c r="E2" s="863"/>
      <c r="F2" s="862" t="s">
        <v>159</v>
      </c>
      <c r="G2" s="866"/>
      <c r="H2" s="862" t="s">
        <v>344</v>
      </c>
      <c r="I2" s="863"/>
      <c r="J2" s="862" t="s">
        <v>45</v>
      </c>
      <c r="K2" s="866"/>
      <c r="L2" s="862" t="s">
        <v>367</v>
      </c>
      <c r="M2" s="863"/>
      <c r="N2" s="862" t="s">
        <v>358</v>
      </c>
      <c r="O2" s="863"/>
      <c r="P2" s="862" t="s">
        <v>360</v>
      </c>
      <c r="Q2" s="863"/>
      <c r="R2" s="862" t="s">
        <v>361</v>
      </c>
      <c r="S2" s="863"/>
      <c r="T2" s="859" t="s">
        <v>363</v>
      </c>
      <c r="U2" s="860"/>
      <c r="V2" s="859" t="s">
        <v>364</v>
      </c>
      <c r="W2" s="861"/>
    </row>
    <row r="3" spans="1:23">
      <c r="A3" s="344" t="s">
        <v>356</v>
      </c>
      <c r="B3" s="877" t="s">
        <v>428</v>
      </c>
      <c r="C3" s="865"/>
      <c r="D3" s="865" t="s">
        <v>429</v>
      </c>
      <c r="E3" s="865"/>
      <c r="F3" s="865" t="s">
        <v>430</v>
      </c>
      <c r="G3" s="865"/>
      <c r="H3" s="865" t="s">
        <v>431</v>
      </c>
      <c r="I3" s="865"/>
      <c r="J3" s="865" t="s">
        <v>422</v>
      </c>
      <c r="K3" s="865"/>
      <c r="L3" s="865" t="s">
        <v>428</v>
      </c>
      <c r="M3" s="865"/>
      <c r="N3" s="865" t="s">
        <v>429</v>
      </c>
      <c r="O3" s="865"/>
      <c r="P3" s="865" t="s">
        <v>431</v>
      </c>
      <c r="Q3" s="865"/>
      <c r="R3" s="865" t="s">
        <v>431</v>
      </c>
      <c r="S3" s="865"/>
      <c r="T3" s="857" t="s">
        <v>428</v>
      </c>
      <c r="U3" s="857"/>
      <c r="V3" s="857" t="s">
        <v>365</v>
      </c>
      <c r="W3" s="858"/>
    </row>
    <row r="4" spans="1:23">
      <c r="A4" s="345" t="s">
        <v>1</v>
      </c>
      <c r="B4" s="867" t="s">
        <v>193</v>
      </c>
      <c r="C4" s="864"/>
      <c r="D4" s="864" t="s">
        <v>194</v>
      </c>
      <c r="E4" s="864"/>
      <c r="F4" s="864" t="s">
        <v>357</v>
      </c>
      <c r="G4" s="864"/>
      <c r="H4" s="864" t="s">
        <v>354</v>
      </c>
      <c r="I4" s="864"/>
      <c r="J4" s="864" t="s">
        <v>355</v>
      </c>
      <c r="K4" s="864"/>
      <c r="L4" s="864" t="s">
        <v>193</v>
      </c>
      <c r="M4" s="864"/>
      <c r="N4" s="864" t="s">
        <v>194</v>
      </c>
      <c r="O4" s="864"/>
      <c r="P4" s="864" t="s">
        <v>354</v>
      </c>
      <c r="Q4" s="864"/>
      <c r="R4" s="864" t="s">
        <v>355</v>
      </c>
      <c r="S4" s="864"/>
      <c r="T4" s="855" t="s">
        <v>193</v>
      </c>
      <c r="U4" s="855"/>
      <c r="V4" s="855" t="s">
        <v>366</v>
      </c>
      <c r="W4" s="856"/>
    </row>
    <row r="5" spans="1:23" s="301" customFormat="1" ht="48">
      <c r="A5" s="314" t="s">
        <v>348</v>
      </c>
      <c r="B5" s="329" t="s">
        <v>160</v>
      </c>
      <c r="C5" s="328" t="s">
        <v>359</v>
      </c>
      <c r="D5" s="328" t="s">
        <v>160</v>
      </c>
      <c r="E5" s="328" t="s">
        <v>359</v>
      </c>
      <c r="F5" s="328" t="s">
        <v>160</v>
      </c>
      <c r="G5" s="328" t="s">
        <v>359</v>
      </c>
      <c r="H5" s="328" t="s">
        <v>160</v>
      </c>
      <c r="I5" s="328" t="s">
        <v>359</v>
      </c>
      <c r="J5" s="328" t="s">
        <v>160</v>
      </c>
      <c r="K5" s="328" t="s">
        <v>359</v>
      </c>
      <c r="L5" s="328" t="s">
        <v>160</v>
      </c>
      <c r="M5" s="328" t="s">
        <v>359</v>
      </c>
      <c r="N5" s="328" t="s">
        <v>160</v>
      </c>
      <c r="O5" s="328" t="s">
        <v>359</v>
      </c>
      <c r="P5" s="328" t="s">
        <v>160</v>
      </c>
      <c r="Q5" s="328" t="s">
        <v>359</v>
      </c>
      <c r="R5" s="328" t="s">
        <v>160</v>
      </c>
      <c r="S5" s="328" t="s">
        <v>359</v>
      </c>
      <c r="T5" s="328" t="s">
        <v>160</v>
      </c>
      <c r="U5" s="328" t="s">
        <v>359</v>
      </c>
      <c r="V5" s="328" t="s">
        <v>160</v>
      </c>
      <c r="W5" s="330" t="s">
        <v>359</v>
      </c>
    </row>
    <row r="6" spans="1:23" s="302" customFormat="1" ht="16.5" customHeight="1">
      <c r="A6" s="303" t="s">
        <v>19</v>
      </c>
      <c r="B6" s="315" t="s">
        <v>161</v>
      </c>
      <c r="C6" s="304" t="s">
        <v>162</v>
      </c>
      <c r="D6" s="304" t="s">
        <v>161</v>
      </c>
      <c r="E6" s="304" t="s">
        <v>162</v>
      </c>
      <c r="F6" s="304" t="s">
        <v>161</v>
      </c>
      <c r="G6" s="304" t="s">
        <v>162</v>
      </c>
      <c r="H6" s="304" t="s">
        <v>161</v>
      </c>
      <c r="I6" s="304" t="s">
        <v>162</v>
      </c>
      <c r="J6" s="304" t="s">
        <v>161</v>
      </c>
      <c r="K6" s="304" t="s">
        <v>162</v>
      </c>
      <c r="L6" s="304" t="s">
        <v>161</v>
      </c>
      <c r="M6" s="304" t="s">
        <v>162</v>
      </c>
      <c r="N6" s="304" t="s">
        <v>161</v>
      </c>
      <c r="O6" s="304" t="s">
        <v>162</v>
      </c>
      <c r="P6" s="304" t="s">
        <v>161</v>
      </c>
      <c r="Q6" s="304" t="s">
        <v>162</v>
      </c>
      <c r="R6" s="304" t="s">
        <v>161</v>
      </c>
      <c r="S6" s="304" t="s">
        <v>162</v>
      </c>
      <c r="T6" s="304" t="s">
        <v>161</v>
      </c>
      <c r="U6" s="304" t="s">
        <v>162</v>
      </c>
      <c r="V6" s="304" t="s">
        <v>161</v>
      </c>
      <c r="W6" s="316" t="s">
        <v>162</v>
      </c>
    </row>
    <row r="7" spans="1:23" s="302" customFormat="1" ht="16.5" customHeight="1">
      <c r="A7" s="305">
        <v>6</v>
      </c>
      <c r="B7" s="317"/>
      <c r="C7" s="307"/>
      <c r="D7" s="306"/>
      <c r="E7" s="307"/>
      <c r="F7" s="306"/>
      <c r="G7" s="307"/>
      <c r="H7" s="306"/>
      <c r="I7" s="307"/>
      <c r="J7" s="306">
        <v>0.153</v>
      </c>
      <c r="K7" s="307">
        <v>25.9</v>
      </c>
      <c r="L7" s="306"/>
      <c r="M7" s="307"/>
      <c r="N7" s="306"/>
      <c r="O7" s="307"/>
      <c r="P7" s="306"/>
      <c r="Q7" s="307"/>
      <c r="R7" s="306">
        <v>0.16400000000000001</v>
      </c>
      <c r="S7" s="307">
        <v>26.8</v>
      </c>
      <c r="T7" s="331"/>
      <c r="U7" s="332"/>
      <c r="V7" s="331">
        <v>0.153</v>
      </c>
      <c r="W7" s="333">
        <v>25.9</v>
      </c>
    </row>
    <row r="8" spans="1:23" s="302" customFormat="1" ht="16.5" customHeight="1">
      <c r="A8" s="308">
        <v>6.5</v>
      </c>
      <c r="B8" s="318"/>
      <c r="C8" s="310"/>
      <c r="D8" s="309"/>
      <c r="E8" s="310"/>
      <c r="F8" s="309"/>
      <c r="G8" s="310"/>
      <c r="H8" s="309"/>
      <c r="I8" s="310"/>
      <c r="J8" s="309">
        <v>0.17</v>
      </c>
      <c r="K8" s="310">
        <v>31.5</v>
      </c>
      <c r="L8" s="309"/>
      <c r="M8" s="310"/>
      <c r="N8" s="309"/>
      <c r="O8" s="310"/>
      <c r="P8" s="309"/>
      <c r="Q8" s="310"/>
      <c r="R8" s="309">
        <v>0.17899999999999999</v>
      </c>
      <c r="S8" s="310">
        <v>31.5</v>
      </c>
      <c r="T8" s="334"/>
      <c r="U8" s="335"/>
      <c r="V8" s="334">
        <v>0.17</v>
      </c>
      <c r="W8" s="336">
        <v>31.5</v>
      </c>
    </row>
    <row r="9" spans="1:23" s="302" customFormat="1" ht="16.5" customHeight="1">
      <c r="A9" s="311">
        <v>8</v>
      </c>
      <c r="B9" s="317">
        <v>0.215</v>
      </c>
      <c r="C9" s="307">
        <v>30.5</v>
      </c>
      <c r="D9" s="306">
        <v>0.23</v>
      </c>
      <c r="E9" s="307">
        <v>32</v>
      </c>
      <c r="F9" s="306">
        <v>0.24299999999999999</v>
      </c>
      <c r="G9" s="307">
        <v>38</v>
      </c>
      <c r="H9" s="306">
        <v>0.25800000000000001</v>
      </c>
      <c r="I9" s="307">
        <v>40.6</v>
      </c>
      <c r="J9" s="306">
        <v>0.28000000000000003</v>
      </c>
      <c r="K9" s="307">
        <v>44.6</v>
      </c>
      <c r="L9" s="306">
        <v>0.215</v>
      </c>
      <c r="M9" s="307">
        <v>30.4</v>
      </c>
      <c r="N9" s="306">
        <v>0.222</v>
      </c>
      <c r="O9" s="307">
        <v>31.6</v>
      </c>
      <c r="P9" s="306">
        <v>0.25</v>
      </c>
      <c r="Q9" s="307">
        <v>40</v>
      </c>
      <c r="R9" s="306">
        <v>0.27300000000000002</v>
      </c>
      <c r="S9" s="307">
        <v>43.3</v>
      </c>
      <c r="T9" s="331">
        <v>0.217</v>
      </c>
      <c r="U9" s="332">
        <v>30.5</v>
      </c>
      <c r="V9" s="331">
        <v>0.26200000000000001</v>
      </c>
      <c r="W9" s="333">
        <v>40.4</v>
      </c>
    </row>
    <row r="10" spans="1:23" s="302" customFormat="1" ht="16.5" customHeight="1">
      <c r="A10" s="312">
        <v>9</v>
      </c>
      <c r="B10" s="318">
        <v>0.27</v>
      </c>
      <c r="C10" s="310">
        <v>38.4</v>
      </c>
      <c r="D10" s="309">
        <v>0.28999999999999998</v>
      </c>
      <c r="E10" s="310">
        <v>40.700000000000003</v>
      </c>
      <c r="F10" s="309">
        <v>0.307</v>
      </c>
      <c r="G10" s="310">
        <v>48.3</v>
      </c>
      <c r="H10" s="309">
        <v>0.32900000000000001</v>
      </c>
      <c r="I10" s="310">
        <v>51.8</v>
      </c>
      <c r="J10" s="309">
        <v>0.35599999999999998</v>
      </c>
      <c r="K10" s="310">
        <v>56</v>
      </c>
      <c r="L10" s="309">
        <v>0.27</v>
      </c>
      <c r="M10" s="310">
        <v>38.4</v>
      </c>
      <c r="N10" s="309">
        <v>0.32900000000000001</v>
      </c>
      <c r="O10" s="310">
        <v>51.8</v>
      </c>
      <c r="P10" s="309">
        <v>0.27</v>
      </c>
      <c r="Q10" s="310">
        <v>38.4</v>
      </c>
      <c r="R10" s="309">
        <v>0.35599999999999998</v>
      </c>
      <c r="S10" s="310">
        <v>56</v>
      </c>
      <c r="T10" s="334">
        <v>0.27</v>
      </c>
      <c r="U10" s="335">
        <v>38.4</v>
      </c>
      <c r="V10" s="334">
        <v>0.35599999999999998</v>
      </c>
      <c r="W10" s="336">
        <v>56</v>
      </c>
    </row>
    <row r="11" spans="1:23" s="302" customFormat="1" ht="16.5" customHeight="1">
      <c r="A11" s="305">
        <v>10</v>
      </c>
      <c r="B11" s="317">
        <v>0.34</v>
      </c>
      <c r="C11" s="307">
        <v>48.2</v>
      </c>
      <c r="D11" s="306">
        <v>0.35</v>
      </c>
      <c r="E11" s="307">
        <v>50</v>
      </c>
      <c r="F11" s="306">
        <v>0.38500000000000001</v>
      </c>
      <c r="G11" s="307">
        <v>60.5</v>
      </c>
      <c r="H11" s="306">
        <v>0.40300000000000002</v>
      </c>
      <c r="I11" s="307">
        <v>63.4</v>
      </c>
      <c r="J11" s="306">
        <v>0.436</v>
      </c>
      <c r="K11" s="307">
        <v>69.5</v>
      </c>
      <c r="L11" s="317">
        <v>0.33700000000000002</v>
      </c>
      <c r="M11" s="307">
        <v>47.4</v>
      </c>
      <c r="N11" s="306">
        <v>0.34699999999999998</v>
      </c>
      <c r="O11" s="307">
        <v>49.4</v>
      </c>
      <c r="P11" s="306">
        <v>0.39</v>
      </c>
      <c r="Q11" s="307">
        <v>61.3</v>
      </c>
      <c r="R11" s="306">
        <v>0.42299999999999999</v>
      </c>
      <c r="S11" s="307">
        <v>67.7</v>
      </c>
      <c r="T11" s="331">
        <v>0.33600000000000002</v>
      </c>
      <c r="U11" s="332">
        <v>47.2</v>
      </c>
      <c r="V11" s="331">
        <v>0.41100000000000003</v>
      </c>
      <c r="W11" s="333">
        <v>63.4</v>
      </c>
    </row>
    <row r="12" spans="1:23" s="302" customFormat="1" ht="16.5" customHeight="1">
      <c r="A12" s="312">
        <v>11</v>
      </c>
      <c r="B12" s="318">
        <v>0.41099999999999998</v>
      </c>
      <c r="C12" s="310">
        <v>58.4</v>
      </c>
      <c r="D12" s="309">
        <v>0.42</v>
      </c>
      <c r="E12" s="310">
        <v>60.2</v>
      </c>
      <c r="F12" s="309">
        <v>0.46500000000000002</v>
      </c>
      <c r="G12" s="310">
        <v>73.400000000000006</v>
      </c>
      <c r="H12" s="309">
        <v>0.48499999999999999</v>
      </c>
      <c r="I12" s="310">
        <v>76.8</v>
      </c>
      <c r="J12" s="309">
        <v>0.52300000000000002</v>
      </c>
      <c r="K12" s="310">
        <v>83.1</v>
      </c>
      <c r="L12" s="309">
        <v>0.41</v>
      </c>
      <c r="M12" s="310">
        <v>57.4</v>
      </c>
      <c r="N12" s="309">
        <v>0.42</v>
      </c>
      <c r="O12" s="310">
        <v>59.7</v>
      </c>
      <c r="P12" s="309">
        <v>0.47</v>
      </c>
      <c r="Q12" s="310">
        <v>76.099999999999994</v>
      </c>
      <c r="R12" s="309">
        <v>0.51200000000000001</v>
      </c>
      <c r="S12" s="310">
        <v>81.900000000000006</v>
      </c>
      <c r="T12" s="334">
        <v>0.41600000000000004</v>
      </c>
      <c r="U12" s="335">
        <v>58.6</v>
      </c>
      <c r="V12" s="334">
        <v>0.504</v>
      </c>
      <c r="W12" s="336">
        <v>77.400000000000006</v>
      </c>
    </row>
    <row r="13" spans="1:23" s="302" customFormat="1" ht="16.5" customHeight="1">
      <c r="A13" s="313">
        <v>12</v>
      </c>
      <c r="B13" s="317">
        <v>0.48799999999999999</v>
      </c>
      <c r="C13" s="307">
        <v>69.2</v>
      </c>
      <c r="D13" s="306">
        <v>0.5</v>
      </c>
      <c r="E13" s="307">
        <v>71.3</v>
      </c>
      <c r="F13" s="306">
        <v>0.54600000000000004</v>
      </c>
      <c r="G13" s="307">
        <v>86.8</v>
      </c>
      <c r="H13" s="306">
        <v>0.56899999999999995</v>
      </c>
      <c r="I13" s="307">
        <v>90.7</v>
      </c>
      <c r="J13" s="306">
        <v>0.61899999999999999</v>
      </c>
      <c r="K13" s="307">
        <v>98.9</v>
      </c>
      <c r="L13" s="306">
        <v>0.48499999999999999</v>
      </c>
      <c r="M13" s="307">
        <v>68.3</v>
      </c>
      <c r="N13" s="306">
        <v>0.5</v>
      </c>
      <c r="O13" s="307">
        <v>71.099999999999994</v>
      </c>
      <c r="P13" s="306">
        <v>0.57999999999999996</v>
      </c>
      <c r="Q13" s="307">
        <v>88.3</v>
      </c>
      <c r="R13" s="306">
        <v>0.61</v>
      </c>
      <c r="S13" s="307">
        <v>97.4</v>
      </c>
      <c r="T13" s="331">
        <v>0.50600000000000001</v>
      </c>
      <c r="U13" s="332">
        <v>71</v>
      </c>
      <c r="V13" s="331">
        <v>0.60899999999999999</v>
      </c>
      <c r="W13" s="333">
        <v>93.4</v>
      </c>
    </row>
    <row r="14" spans="1:23" s="302" customFormat="1" ht="16.5" customHeight="1">
      <c r="A14" s="312">
        <v>13</v>
      </c>
      <c r="B14" s="318">
        <v>0.57899999999999996</v>
      </c>
      <c r="C14" s="310">
        <v>80.7</v>
      </c>
      <c r="D14" s="309">
        <v>0.57999999999999996</v>
      </c>
      <c r="E14" s="310">
        <v>82.5</v>
      </c>
      <c r="F14" s="309">
        <v>0.65</v>
      </c>
      <c r="G14" s="310">
        <v>103.1</v>
      </c>
      <c r="H14" s="309">
        <v>0.67100000000000004</v>
      </c>
      <c r="I14" s="310">
        <v>105</v>
      </c>
      <c r="J14" s="309">
        <v>0.72699999999999998</v>
      </c>
      <c r="K14" s="310">
        <v>116</v>
      </c>
      <c r="L14" s="309">
        <v>0.56899999999999995</v>
      </c>
      <c r="M14" s="310">
        <v>80.2</v>
      </c>
      <c r="N14" s="309">
        <v>0.58599999999999997</v>
      </c>
      <c r="O14" s="310">
        <v>83.4</v>
      </c>
      <c r="P14" s="309">
        <v>0.66</v>
      </c>
      <c r="Q14" s="310">
        <v>106</v>
      </c>
      <c r="R14" s="309">
        <v>0.71499999999999997</v>
      </c>
      <c r="S14" s="310">
        <v>114</v>
      </c>
      <c r="T14" s="334">
        <v>0.58200000000000007</v>
      </c>
      <c r="U14" s="335">
        <v>81.900000000000006</v>
      </c>
      <c r="V14" s="334">
        <v>0.70599999999999996</v>
      </c>
      <c r="W14" s="336">
        <v>108.9</v>
      </c>
    </row>
    <row r="15" spans="1:23" s="302" customFormat="1" ht="16.5" customHeight="1">
      <c r="A15" s="313">
        <v>16</v>
      </c>
      <c r="B15" s="317">
        <v>0.871</v>
      </c>
      <c r="C15" s="307">
        <v>121</v>
      </c>
      <c r="D15" s="306">
        <v>0.89</v>
      </c>
      <c r="E15" s="307">
        <v>126.1</v>
      </c>
      <c r="F15" s="306">
        <v>0.98099999999999998</v>
      </c>
      <c r="G15" s="307">
        <v>154.80000000000001</v>
      </c>
      <c r="H15" s="306">
        <v>1.016</v>
      </c>
      <c r="I15" s="307">
        <v>160.4</v>
      </c>
      <c r="J15" s="306">
        <v>1.1000000000000001</v>
      </c>
      <c r="K15" s="307">
        <v>176.1</v>
      </c>
      <c r="L15" s="306">
        <v>0.86099999999999999</v>
      </c>
      <c r="M15" s="307">
        <v>121</v>
      </c>
      <c r="N15" s="306">
        <v>0.88800000000000001</v>
      </c>
      <c r="O15" s="307">
        <v>126</v>
      </c>
      <c r="P15" s="306">
        <v>1</v>
      </c>
      <c r="Q15" s="307">
        <v>156</v>
      </c>
      <c r="R15" s="306">
        <v>1.083</v>
      </c>
      <c r="S15" s="307">
        <v>173</v>
      </c>
      <c r="T15" s="331">
        <v>0.872</v>
      </c>
      <c r="U15" s="332">
        <v>122.5</v>
      </c>
      <c r="V15" s="331">
        <v>1.0649999999999999</v>
      </c>
      <c r="W15" s="333">
        <v>163.6</v>
      </c>
    </row>
    <row r="16" spans="1:23">
      <c r="A16" s="106"/>
      <c r="B16" s="319"/>
      <c r="C16" s="102"/>
      <c r="D16" s="101"/>
      <c r="E16" s="102"/>
      <c r="F16" s="101"/>
      <c r="G16" s="102"/>
      <c r="H16" s="101"/>
      <c r="I16" s="102"/>
      <c r="J16" s="101"/>
      <c r="K16" s="103"/>
      <c r="L16" s="102"/>
      <c r="M16" s="102"/>
      <c r="N16" s="101"/>
      <c r="O16" s="102"/>
      <c r="P16" s="101"/>
      <c r="Q16" s="102"/>
      <c r="R16" s="101"/>
      <c r="S16" s="103"/>
      <c r="T16" s="102"/>
      <c r="U16" s="102"/>
      <c r="V16" s="101"/>
      <c r="W16" s="320"/>
    </row>
    <row r="17" spans="1:23">
      <c r="A17" s="106"/>
      <c r="B17" s="321"/>
      <c r="C17" s="100"/>
      <c r="D17" s="107"/>
      <c r="E17" s="100"/>
      <c r="F17" s="107"/>
      <c r="G17" s="100"/>
      <c r="H17" s="107"/>
      <c r="I17" s="100"/>
      <c r="J17" s="107"/>
      <c r="K17" s="108"/>
      <c r="L17" s="100"/>
      <c r="M17" s="100"/>
      <c r="N17" s="107"/>
      <c r="O17" s="100"/>
      <c r="P17" s="107"/>
      <c r="Q17" s="100"/>
      <c r="R17" s="107"/>
      <c r="S17" s="108"/>
      <c r="T17" s="100"/>
      <c r="U17" s="100"/>
      <c r="V17" s="107"/>
      <c r="W17" s="322"/>
    </row>
    <row r="18" spans="1:23">
      <c r="A18" s="106"/>
      <c r="B18" s="321"/>
      <c r="C18" s="100"/>
      <c r="D18" s="107"/>
      <c r="E18" s="100"/>
      <c r="F18" s="107"/>
      <c r="G18" s="100"/>
      <c r="H18" s="107"/>
      <c r="I18" s="100"/>
      <c r="J18" s="107"/>
      <c r="K18" s="108"/>
      <c r="L18" s="100"/>
      <c r="M18" s="100"/>
      <c r="N18" s="107"/>
      <c r="O18" s="100"/>
      <c r="P18" s="107"/>
      <c r="Q18" s="100"/>
      <c r="R18" s="107"/>
      <c r="S18" s="108"/>
      <c r="T18" s="100"/>
      <c r="U18" s="100"/>
      <c r="V18" s="107"/>
      <c r="W18" s="322"/>
    </row>
    <row r="19" spans="1:23">
      <c r="A19" s="106"/>
      <c r="B19" s="321"/>
      <c r="C19" s="100"/>
      <c r="D19" s="107"/>
      <c r="E19" s="100"/>
      <c r="F19" s="107"/>
      <c r="G19" s="100"/>
      <c r="H19" s="107"/>
      <c r="I19" s="100"/>
      <c r="J19" s="107"/>
      <c r="K19" s="108"/>
      <c r="L19" s="100"/>
      <c r="M19" s="100"/>
      <c r="N19" s="107"/>
      <c r="O19" s="100"/>
      <c r="P19" s="107"/>
      <c r="Q19" s="100"/>
      <c r="R19" s="107"/>
      <c r="S19" s="108"/>
      <c r="T19" s="100"/>
      <c r="U19" s="100"/>
      <c r="V19" s="107"/>
      <c r="W19" s="322"/>
    </row>
    <row r="20" spans="1:23" ht="31.5" customHeight="1" thickBot="1">
      <c r="A20" s="106"/>
      <c r="B20" s="323"/>
      <c r="C20" s="324"/>
      <c r="D20" s="325"/>
      <c r="E20" s="324"/>
      <c r="F20" s="325"/>
      <c r="G20" s="324"/>
      <c r="H20" s="325"/>
      <c r="I20" s="324"/>
      <c r="J20" s="325"/>
      <c r="K20" s="326"/>
      <c r="L20" s="325"/>
      <c r="M20" s="324"/>
      <c r="N20" s="325"/>
      <c r="O20" s="324"/>
      <c r="P20" s="325"/>
      <c r="Q20" s="324"/>
      <c r="R20" s="325"/>
      <c r="S20" s="326"/>
      <c r="T20" s="325"/>
      <c r="U20" s="324"/>
      <c r="V20" s="325"/>
      <c r="W20" s="327"/>
    </row>
    <row r="21" spans="1:23">
      <c r="A21" s="106"/>
      <c r="B21" s="100"/>
      <c r="C21" s="100"/>
      <c r="D21" s="100"/>
      <c r="E21" s="100"/>
      <c r="F21" s="100"/>
      <c r="G21" s="100"/>
      <c r="H21" s="100"/>
      <c r="I21" s="100"/>
      <c r="J21" s="100"/>
      <c r="K21" s="100"/>
    </row>
    <row r="22" spans="1:23" s="210" customFormat="1" ht="15.6" customHeight="1">
      <c r="A22" s="208" t="s">
        <v>432</v>
      </c>
      <c r="B22" s="511" t="s">
        <v>106</v>
      </c>
      <c r="C22" s="512" t="s">
        <v>658</v>
      </c>
      <c r="D22" s="513" t="s">
        <v>659</v>
      </c>
      <c r="E22" s="223"/>
      <c r="F22" s="224"/>
      <c r="G22" s="209"/>
      <c r="H22" s="209"/>
      <c r="I22" s="209"/>
      <c r="J22" s="209"/>
      <c r="K22" s="209"/>
      <c r="T22" s="868" t="s">
        <v>763</v>
      </c>
      <c r="U22" s="868"/>
      <c r="V22" s="868"/>
      <c r="W22" s="868"/>
    </row>
    <row r="23" spans="1:23">
      <c r="A23" s="206">
        <v>1</v>
      </c>
      <c r="B23" s="211" t="s">
        <v>349</v>
      </c>
      <c r="C23" s="340" t="s">
        <v>370</v>
      </c>
      <c r="D23" s="337" t="s">
        <v>193</v>
      </c>
      <c r="E23" s="212"/>
      <c r="F23" s="213"/>
      <c r="G23" s="105"/>
      <c r="H23" s="105"/>
      <c r="I23" s="105"/>
      <c r="J23" s="105"/>
      <c r="K23" s="105"/>
      <c r="T23" s="868"/>
      <c r="U23" s="868"/>
      <c r="V23" s="868"/>
      <c r="W23" s="868"/>
    </row>
    <row r="24" spans="1:23">
      <c r="A24" s="206">
        <v>2</v>
      </c>
      <c r="B24" s="214" t="s">
        <v>350</v>
      </c>
      <c r="C24" s="341" t="s">
        <v>370</v>
      </c>
      <c r="D24" s="338" t="s">
        <v>194</v>
      </c>
      <c r="E24" s="205"/>
      <c r="F24" s="215"/>
      <c r="G24" s="105"/>
      <c r="H24" s="105"/>
      <c r="I24" s="105"/>
      <c r="J24" s="105"/>
      <c r="K24" s="105"/>
      <c r="T24" s="868"/>
      <c r="U24" s="868"/>
      <c r="V24" s="868"/>
      <c r="W24" s="868"/>
    </row>
    <row r="25" spans="1:23">
      <c r="A25" s="206">
        <v>3</v>
      </c>
      <c r="B25" s="214" t="s">
        <v>351</v>
      </c>
      <c r="C25" s="341" t="s">
        <v>370</v>
      </c>
      <c r="D25" s="338" t="s">
        <v>196</v>
      </c>
      <c r="E25" s="205"/>
      <c r="F25" s="215"/>
      <c r="G25" s="105"/>
      <c r="H25" s="105"/>
      <c r="I25" s="105"/>
      <c r="J25" s="105"/>
      <c r="K25" s="105"/>
      <c r="T25" s="868"/>
      <c r="U25" s="868"/>
      <c r="V25" s="868"/>
      <c r="W25" s="868"/>
    </row>
    <row r="26" spans="1:23">
      <c r="A26" s="206">
        <v>4</v>
      </c>
      <c r="B26" s="214" t="s">
        <v>352</v>
      </c>
      <c r="C26" s="341" t="s">
        <v>370</v>
      </c>
      <c r="D26" s="338" t="s">
        <v>346</v>
      </c>
      <c r="E26" s="205"/>
      <c r="F26" s="215"/>
      <c r="G26" s="105"/>
      <c r="H26" s="105"/>
      <c r="I26" s="105"/>
      <c r="J26" s="105"/>
      <c r="K26" s="105"/>
      <c r="T26" s="868"/>
      <c r="U26" s="868"/>
      <c r="V26" s="868"/>
      <c r="W26" s="868"/>
    </row>
    <row r="27" spans="1:23">
      <c r="A27" s="206">
        <v>5</v>
      </c>
      <c r="B27" s="216" t="s">
        <v>353</v>
      </c>
      <c r="C27" s="342" t="s">
        <v>370</v>
      </c>
      <c r="D27" s="339" t="s">
        <v>195</v>
      </c>
      <c r="E27" s="217"/>
      <c r="F27" s="219"/>
      <c r="G27" s="105"/>
      <c r="H27" s="105"/>
      <c r="I27" s="105"/>
      <c r="J27" s="105"/>
      <c r="K27" s="105"/>
      <c r="T27" s="868"/>
      <c r="U27" s="868"/>
      <c r="V27" s="868"/>
      <c r="W27" s="868"/>
    </row>
    <row r="28" spans="1:23">
      <c r="A28" s="206">
        <v>6</v>
      </c>
      <c r="B28" s="211" t="s">
        <v>367</v>
      </c>
      <c r="C28" s="340" t="s">
        <v>362</v>
      </c>
      <c r="D28" s="337" t="s">
        <v>193</v>
      </c>
      <c r="E28" s="220"/>
      <c r="F28" s="221"/>
      <c r="G28" s="105"/>
      <c r="H28" s="105"/>
      <c r="I28" s="105"/>
      <c r="J28" s="105"/>
      <c r="K28" s="105"/>
    </row>
    <row r="29" spans="1:23">
      <c r="A29" s="206">
        <v>7</v>
      </c>
      <c r="B29" s="214" t="s">
        <v>358</v>
      </c>
      <c r="C29" s="341" t="s">
        <v>362</v>
      </c>
      <c r="D29" s="338" t="s">
        <v>194</v>
      </c>
      <c r="E29" s="105"/>
      <c r="F29" s="222"/>
      <c r="G29" s="105"/>
      <c r="H29" s="105"/>
      <c r="I29" s="105"/>
      <c r="J29" s="105"/>
      <c r="K29" s="105"/>
    </row>
    <row r="30" spans="1:23">
      <c r="A30" s="206">
        <v>8</v>
      </c>
      <c r="B30" s="214" t="s">
        <v>360</v>
      </c>
      <c r="C30" s="341" t="s">
        <v>362</v>
      </c>
      <c r="D30" s="338" t="s">
        <v>346</v>
      </c>
      <c r="E30" s="105"/>
      <c r="F30" s="222"/>
      <c r="G30" s="105"/>
      <c r="H30" s="105"/>
      <c r="I30" s="105"/>
      <c r="J30" s="105"/>
      <c r="K30" s="105"/>
    </row>
    <row r="31" spans="1:23">
      <c r="A31" s="206">
        <v>9</v>
      </c>
      <c r="B31" s="216" t="s">
        <v>361</v>
      </c>
      <c r="C31" s="341" t="s">
        <v>362</v>
      </c>
      <c r="D31" s="339" t="s">
        <v>195</v>
      </c>
      <c r="E31" s="207"/>
      <c r="F31" s="218"/>
      <c r="G31" s="105"/>
      <c r="H31" s="105"/>
      <c r="I31" s="105"/>
      <c r="J31" s="105"/>
      <c r="K31" s="105"/>
    </row>
    <row r="32" spans="1:23">
      <c r="A32" s="206">
        <v>10</v>
      </c>
      <c r="B32" s="346" t="str">
        <f>V1&amp;" "&amp;T2</f>
        <v>Other 8x19S-NFC</v>
      </c>
      <c r="C32" s="347" t="str">
        <f>T1</f>
        <v>انواع دیگر</v>
      </c>
      <c r="D32" s="348" t="str">
        <f>T4</f>
        <v>8x19 سیل با مغز کنفی</v>
      </c>
      <c r="E32" s="349"/>
      <c r="F32" s="350"/>
      <c r="G32" s="105"/>
      <c r="H32" s="105"/>
      <c r="I32" s="105"/>
      <c r="J32" s="105"/>
      <c r="K32" s="105"/>
    </row>
    <row r="33" spans="1:11">
      <c r="A33" s="206">
        <v>11</v>
      </c>
      <c r="B33" s="351" t="str">
        <f>V1&amp;" "&amp;V2</f>
        <v>Other 8x19S-PWRC</v>
      </c>
      <c r="C33" s="352" t="str">
        <f>T1</f>
        <v>انواع دیگر</v>
      </c>
      <c r="D33" s="353" t="str">
        <f>V4</f>
        <v>8x19 سیل با مغز فولادی</v>
      </c>
      <c r="E33" s="354"/>
      <c r="F33" s="355"/>
      <c r="G33" s="105"/>
      <c r="H33" s="105"/>
      <c r="I33" s="105"/>
      <c r="J33" s="105"/>
      <c r="K33" s="105"/>
    </row>
    <row r="34" spans="1:11">
      <c r="E34" s="105"/>
      <c r="F34" s="105"/>
      <c r="G34" s="105"/>
      <c r="H34" s="105"/>
      <c r="I34" s="105"/>
      <c r="J34" s="105"/>
      <c r="K34" s="105"/>
    </row>
    <row r="35" spans="1:11">
      <c r="E35" s="105"/>
      <c r="F35" s="105"/>
      <c r="G35" s="105"/>
      <c r="H35" s="105"/>
      <c r="I35" s="105"/>
      <c r="J35" s="105"/>
      <c r="K35" s="105"/>
    </row>
    <row r="36" spans="1:11">
      <c r="E36" s="105"/>
      <c r="F36" s="105"/>
      <c r="G36" s="105"/>
      <c r="H36" s="105"/>
      <c r="I36" s="105"/>
      <c r="J36" s="105"/>
      <c r="K36" s="105"/>
    </row>
    <row r="37" spans="1:11">
      <c r="E37" s="105"/>
      <c r="F37" s="105"/>
      <c r="G37" s="105"/>
      <c r="H37" s="105"/>
      <c r="I37" s="105"/>
      <c r="J37" s="105"/>
      <c r="K37" s="105"/>
    </row>
    <row r="38" spans="1:11">
      <c r="E38" s="105"/>
      <c r="F38" s="105"/>
      <c r="G38" s="105"/>
      <c r="H38" s="105"/>
      <c r="I38" s="105"/>
      <c r="J38" s="105"/>
      <c r="K38" s="105"/>
    </row>
    <row r="39" spans="1:11">
      <c r="E39" s="105"/>
      <c r="F39" s="105"/>
      <c r="G39" s="105"/>
      <c r="H39" s="105"/>
      <c r="I39" s="105"/>
      <c r="J39" s="105"/>
      <c r="K39" s="105"/>
    </row>
    <row r="40" spans="1:11">
      <c r="E40" s="105"/>
      <c r="F40" s="105"/>
      <c r="G40" s="105"/>
      <c r="H40" s="105"/>
      <c r="I40" s="105"/>
      <c r="J40" s="105"/>
      <c r="K40" s="105"/>
    </row>
  </sheetData>
  <sheetProtection algorithmName="SHA-512" hashValue="osSfWBCotdIbac7+RDD5zljyiO4jukdjyydw8laSvQu/ALV0eY8lXHQlVOsXWdSbnJi3hWVBtLAsUpMd4O2i0A==" saltValue="w15PMoG9P+FyI9GpmsflsQ==" spinCount="100000" sheet="1" objects="1" scenarios="1" selectLockedCells="1"/>
  <customSheetViews>
    <customSheetView guid="{0B2838C1-64E2-4766-B82E-FE301CB42C7D}" scale="120">
      <pageMargins left="0.7" right="0.7" top="0.75" bottom="0.75" header="0.3" footer="0.3"/>
    </customSheetView>
    <customSheetView guid="{ADB28B25-780E-4315-A7F7-F519CAE45D94}" showGridLines="0">
      <pane xSplit="1" topLeftCell="B1" activePane="topRight" state="frozen"/>
      <selection pane="topRight" activeCell="U12" sqref="U12"/>
      <pageMargins left="0.7" right="0.7" top="0.75" bottom="0.75" header="0.3" footer="0.3"/>
      <pageSetup orientation="portrait" r:id="rId1"/>
    </customSheetView>
  </customSheetViews>
  <mergeCells count="40">
    <mergeCell ref="T22:W27"/>
    <mergeCell ref="B1:F1"/>
    <mergeCell ref="G1:K1"/>
    <mergeCell ref="L1:O1"/>
    <mergeCell ref="P1:S1"/>
    <mergeCell ref="V1:W1"/>
    <mergeCell ref="T1:U1"/>
    <mergeCell ref="J2:K2"/>
    <mergeCell ref="J4:K4"/>
    <mergeCell ref="B3:C3"/>
    <mergeCell ref="D3:E3"/>
    <mergeCell ref="F3:G3"/>
    <mergeCell ref="H3:I3"/>
    <mergeCell ref="J3:K3"/>
    <mergeCell ref="B2:C2"/>
    <mergeCell ref="D2:E2"/>
    <mergeCell ref="F2:G2"/>
    <mergeCell ref="H2:I2"/>
    <mergeCell ref="B4:C4"/>
    <mergeCell ref="D4:E4"/>
    <mergeCell ref="F4:G4"/>
    <mergeCell ref="H4:I4"/>
    <mergeCell ref="L2:M2"/>
    <mergeCell ref="N2:O2"/>
    <mergeCell ref="P2:Q2"/>
    <mergeCell ref="R2:S2"/>
    <mergeCell ref="L4:M4"/>
    <mergeCell ref="N4:O4"/>
    <mergeCell ref="P4:Q4"/>
    <mergeCell ref="R4:S4"/>
    <mergeCell ref="L3:M3"/>
    <mergeCell ref="N3:O3"/>
    <mergeCell ref="P3:Q3"/>
    <mergeCell ref="R3:S3"/>
    <mergeCell ref="T4:U4"/>
    <mergeCell ref="V4:W4"/>
    <mergeCell ref="T3:U3"/>
    <mergeCell ref="V3:W3"/>
    <mergeCell ref="T2:U2"/>
    <mergeCell ref="V2:W2"/>
  </mergeCells>
  <pageMargins left="0.7" right="0.7" top="0.75" bottom="0.75" header="0.3" footer="0.3"/>
  <pageSetup orientation="portrait" r:id="rId2"/>
  <headerFooter>
    <oddHeader>&amp;L&amp;12&amp;"Tahoma"شماره پرونده: 8798_x000D_شناسه ملي آسانسور: 7899874342</oddHeader>
  </headerFooter>
  <drawing r:id="rId3"/>
  <tableParts count="1">
    <tablePart r:id="rId4"/>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13"/>
  <dimension ref="B1:E51"/>
  <sheetViews>
    <sheetView rightToLeft="1" workbookViewId="0">
      <selection activeCell="B29" sqref="B29"/>
    </sheetView>
  </sheetViews>
  <sheetFormatPr defaultRowHeight="18.75"/>
  <cols>
    <col min="1" max="1" width="1.8984375" customWidth="1"/>
    <col min="2" max="2" width="30.09765625" bestFit="1" customWidth="1"/>
    <col min="3" max="3" width="10.09765625" bestFit="1" customWidth="1"/>
    <col min="4" max="4" width="8.69921875" customWidth="1"/>
    <col min="5" max="5" width="10.59765625" bestFit="1" customWidth="1"/>
  </cols>
  <sheetData>
    <row r="1" spans="2:5" ht="8.65" customHeight="1"/>
    <row r="2" spans="2:5" ht="30">
      <c r="B2" s="388" t="s">
        <v>596</v>
      </c>
      <c r="C2" s="396" t="s">
        <v>597</v>
      </c>
      <c r="D2" s="396" t="s">
        <v>598</v>
      </c>
      <c r="E2" s="395" t="s">
        <v>599</v>
      </c>
    </row>
    <row r="3" spans="2:5">
      <c r="B3" s="389" t="s">
        <v>533</v>
      </c>
      <c r="C3" s="390" t="s">
        <v>524</v>
      </c>
      <c r="D3" s="390" t="s">
        <v>503</v>
      </c>
      <c r="E3" s="391" t="s">
        <v>503</v>
      </c>
    </row>
    <row r="4" spans="2:5">
      <c r="B4" s="389" t="s">
        <v>551</v>
      </c>
      <c r="C4" s="390" t="s">
        <v>545</v>
      </c>
      <c r="D4" s="390" t="s">
        <v>503</v>
      </c>
      <c r="E4" s="391" t="s">
        <v>522</v>
      </c>
    </row>
    <row r="5" spans="2:5">
      <c r="B5" s="389" t="s">
        <v>531</v>
      </c>
      <c r="C5" s="390" t="s">
        <v>524</v>
      </c>
      <c r="D5" s="390" t="s">
        <v>503</v>
      </c>
      <c r="E5" s="391" t="s">
        <v>503</v>
      </c>
    </row>
    <row r="6" spans="2:5">
      <c r="B6" s="389" t="s">
        <v>561</v>
      </c>
      <c r="C6" s="390" t="s">
        <v>562</v>
      </c>
      <c r="D6" s="390" t="s">
        <v>563</v>
      </c>
      <c r="E6" s="391" t="s">
        <v>550</v>
      </c>
    </row>
    <row r="7" spans="2:5">
      <c r="B7" s="389" t="s">
        <v>513</v>
      </c>
      <c r="C7" s="390" t="s">
        <v>512</v>
      </c>
      <c r="D7" s="390" t="s">
        <v>503</v>
      </c>
      <c r="E7" s="391" t="s">
        <v>503</v>
      </c>
    </row>
    <row r="8" spans="2:5">
      <c r="B8" s="389" t="s">
        <v>505</v>
      </c>
      <c r="C8" s="390" t="s">
        <v>506</v>
      </c>
      <c r="D8" s="390" t="s">
        <v>503</v>
      </c>
      <c r="E8" s="391" t="s">
        <v>503</v>
      </c>
    </row>
    <row r="9" spans="2:5">
      <c r="B9" s="389" t="s">
        <v>507</v>
      </c>
      <c r="C9" s="390" t="s">
        <v>508</v>
      </c>
      <c r="D9" s="390" t="s">
        <v>503</v>
      </c>
      <c r="E9" s="391" t="s">
        <v>503</v>
      </c>
    </row>
    <row r="10" spans="2:5">
      <c r="B10" s="389" t="s">
        <v>539</v>
      </c>
      <c r="C10" s="390" t="s">
        <v>524</v>
      </c>
      <c r="D10" s="390" t="s">
        <v>499</v>
      </c>
      <c r="E10" s="391" t="s">
        <v>500</v>
      </c>
    </row>
    <row r="11" spans="2:5">
      <c r="B11" s="389" t="s">
        <v>580</v>
      </c>
      <c r="C11" s="390" t="s">
        <v>581</v>
      </c>
      <c r="D11" s="390" t="s">
        <v>555</v>
      </c>
      <c r="E11" s="391" t="s">
        <v>556</v>
      </c>
    </row>
    <row r="12" spans="2:5">
      <c r="B12" s="389" t="s">
        <v>529</v>
      </c>
      <c r="C12" s="390" t="s">
        <v>524</v>
      </c>
      <c r="D12" s="390" t="s">
        <v>503</v>
      </c>
      <c r="E12" s="391" t="s">
        <v>503</v>
      </c>
    </row>
    <row r="13" spans="2:5">
      <c r="B13" s="389" t="s">
        <v>534</v>
      </c>
      <c r="C13" s="390" t="s">
        <v>524</v>
      </c>
      <c r="D13" s="390" t="s">
        <v>535</v>
      </c>
      <c r="E13" s="391" t="s">
        <v>536</v>
      </c>
    </row>
    <row r="14" spans="2:5">
      <c r="B14" s="389" t="s">
        <v>537</v>
      </c>
      <c r="C14" s="390" t="s">
        <v>524</v>
      </c>
      <c r="D14" s="390" t="s">
        <v>503</v>
      </c>
      <c r="E14" s="391" t="s">
        <v>503</v>
      </c>
    </row>
    <row r="15" spans="2:5">
      <c r="B15" s="389" t="s">
        <v>530</v>
      </c>
      <c r="C15" s="390" t="s">
        <v>524</v>
      </c>
      <c r="D15" s="390" t="s">
        <v>503</v>
      </c>
      <c r="E15" s="391" t="s">
        <v>503</v>
      </c>
    </row>
    <row r="16" spans="2:5">
      <c r="B16" s="389" t="s">
        <v>518</v>
      </c>
      <c r="C16" s="390" t="s">
        <v>512</v>
      </c>
      <c r="D16" s="390" t="s">
        <v>499</v>
      </c>
      <c r="E16" s="391" t="s">
        <v>500</v>
      </c>
    </row>
    <row r="17" spans="2:5">
      <c r="B17" s="389" t="s">
        <v>587</v>
      </c>
      <c r="C17" s="390" t="s">
        <v>586</v>
      </c>
      <c r="D17" s="390" t="s">
        <v>588</v>
      </c>
      <c r="E17" s="391" t="s">
        <v>589</v>
      </c>
    </row>
    <row r="18" spans="2:5">
      <c r="B18" s="389" t="s">
        <v>514</v>
      </c>
      <c r="C18" s="390" t="s">
        <v>512</v>
      </c>
      <c r="D18" s="390" t="s">
        <v>503</v>
      </c>
      <c r="E18" s="391" t="s">
        <v>503</v>
      </c>
    </row>
    <row r="19" spans="2:5">
      <c r="B19" s="389" t="s">
        <v>717</v>
      </c>
      <c r="C19" s="390" t="s">
        <v>586</v>
      </c>
      <c r="D19" s="390" t="s">
        <v>503</v>
      </c>
      <c r="E19" s="391" t="s">
        <v>503</v>
      </c>
    </row>
    <row r="20" spans="2:5">
      <c r="B20" s="389" t="s">
        <v>497</v>
      </c>
      <c r="C20" s="390" t="s">
        <v>498</v>
      </c>
      <c r="D20" s="390" t="s">
        <v>499</v>
      </c>
      <c r="E20" s="391" t="s">
        <v>500</v>
      </c>
    </row>
    <row r="21" spans="2:5">
      <c r="B21" s="389" t="s">
        <v>511</v>
      </c>
      <c r="C21" s="390" t="s">
        <v>512</v>
      </c>
      <c r="D21" s="390" t="s">
        <v>503</v>
      </c>
      <c r="E21" s="391" t="s">
        <v>503</v>
      </c>
    </row>
    <row r="22" spans="2:5">
      <c r="B22" s="389" t="s">
        <v>575</v>
      </c>
      <c r="C22" s="390" t="s">
        <v>576</v>
      </c>
      <c r="D22" s="390" t="s">
        <v>577</v>
      </c>
      <c r="E22" s="391" t="s">
        <v>525</v>
      </c>
    </row>
    <row r="23" spans="2:5">
      <c r="B23" s="389" t="s">
        <v>600</v>
      </c>
      <c r="C23" s="390" t="s">
        <v>586</v>
      </c>
      <c r="D23" s="390" t="s">
        <v>590</v>
      </c>
      <c r="E23" s="391" t="s">
        <v>556</v>
      </c>
    </row>
    <row r="24" spans="2:5">
      <c r="B24" s="389" t="s">
        <v>713</v>
      </c>
      <c r="C24" s="390" t="s">
        <v>524</v>
      </c>
      <c r="D24" s="390" t="s">
        <v>503</v>
      </c>
      <c r="E24" s="391" t="s">
        <v>503</v>
      </c>
    </row>
    <row r="25" spans="2:5">
      <c r="B25" s="389" t="s">
        <v>501</v>
      </c>
      <c r="C25" s="390" t="s">
        <v>502</v>
      </c>
      <c r="D25" s="390" t="s">
        <v>503</v>
      </c>
      <c r="E25" s="391" t="s">
        <v>504</v>
      </c>
    </row>
    <row r="26" spans="2:5">
      <c r="B26" s="389" t="s">
        <v>714</v>
      </c>
      <c r="C26" s="390" t="s">
        <v>552</v>
      </c>
      <c r="D26" s="390" t="s">
        <v>503</v>
      </c>
      <c r="E26" s="391" t="s">
        <v>503</v>
      </c>
    </row>
    <row r="27" spans="2:5">
      <c r="B27" s="389" t="s">
        <v>714</v>
      </c>
      <c r="C27" s="390" t="s">
        <v>574</v>
      </c>
      <c r="D27" s="390"/>
      <c r="E27" s="391"/>
    </row>
    <row r="28" spans="2:5">
      <c r="B28" s="389" t="s">
        <v>549</v>
      </c>
      <c r="C28" s="390" t="s">
        <v>545</v>
      </c>
      <c r="D28" s="390" t="s">
        <v>503</v>
      </c>
      <c r="E28" s="391" t="s">
        <v>550</v>
      </c>
    </row>
    <row r="29" spans="2:5">
      <c r="B29" s="389" t="s">
        <v>538</v>
      </c>
      <c r="C29" s="390" t="s">
        <v>524</v>
      </c>
      <c r="D29" s="390" t="s">
        <v>503</v>
      </c>
      <c r="E29" s="391" t="s">
        <v>503</v>
      </c>
    </row>
    <row r="30" spans="2:5">
      <c r="B30" s="389" t="s">
        <v>715</v>
      </c>
      <c r="C30" s="390" t="s">
        <v>524</v>
      </c>
      <c r="D30" s="390" t="s">
        <v>532</v>
      </c>
      <c r="E30" s="391" t="s">
        <v>532</v>
      </c>
    </row>
    <row r="31" spans="2:5">
      <c r="B31" s="389" t="s">
        <v>584</v>
      </c>
      <c r="C31" s="390" t="s">
        <v>585</v>
      </c>
      <c r="D31" s="390" t="s">
        <v>571</v>
      </c>
      <c r="E31" s="391" t="s">
        <v>572</v>
      </c>
    </row>
    <row r="32" spans="2:5">
      <c r="B32" s="389" t="s">
        <v>569</v>
      </c>
      <c r="C32" s="390" t="s">
        <v>570</v>
      </c>
      <c r="D32" s="390" t="s">
        <v>571</v>
      </c>
      <c r="E32" s="391" t="s">
        <v>572</v>
      </c>
    </row>
    <row r="33" spans="2:5">
      <c r="B33" s="389" t="s">
        <v>519</v>
      </c>
      <c r="C33" s="390" t="s">
        <v>520</v>
      </c>
      <c r="D33" s="390" t="s">
        <v>521</v>
      </c>
      <c r="E33" s="391" t="s">
        <v>522</v>
      </c>
    </row>
    <row r="34" spans="2:5">
      <c r="B34" s="389" t="s">
        <v>509</v>
      </c>
      <c r="C34" s="390" t="s">
        <v>510</v>
      </c>
      <c r="D34" s="390" t="s">
        <v>503</v>
      </c>
      <c r="E34" s="391" t="s">
        <v>503</v>
      </c>
    </row>
    <row r="35" spans="2:5">
      <c r="B35" s="389" t="s">
        <v>582</v>
      </c>
      <c r="C35" s="390" t="s">
        <v>583</v>
      </c>
      <c r="D35" s="390" t="s">
        <v>559</v>
      </c>
      <c r="E35" s="391" t="s">
        <v>560</v>
      </c>
    </row>
    <row r="36" spans="2:5">
      <c r="B36" s="389" t="s">
        <v>564</v>
      </c>
      <c r="C36" s="390" t="s">
        <v>565</v>
      </c>
      <c r="D36" s="390" t="s">
        <v>559</v>
      </c>
      <c r="E36" s="391" t="s">
        <v>560</v>
      </c>
    </row>
    <row r="37" spans="2:5">
      <c r="B37" s="389" t="s">
        <v>573</v>
      </c>
      <c r="C37" s="390" t="s">
        <v>570</v>
      </c>
      <c r="D37" s="390" t="s">
        <v>555</v>
      </c>
      <c r="E37" s="391" t="s">
        <v>556</v>
      </c>
    </row>
    <row r="38" spans="2:5">
      <c r="B38" s="389" t="s">
        <v>540</v>
      </c>
      <c r="C38" s="390" t="s">
        <v>524</v>
      </c>
      <c r="D38" s="390" t="s">
        <v>499</v>
      </c>
      <c r="E38" s="391" t="s">
        <v>500</v>
      </c>
    </row>
    <row r="39" spans="2:5">
      <c r="B39" s="389" t="s">
        <v>553</v>
      </c>
      <c r="C39" s="390" t="s">
        <v>554</v>
      </c>
      <c r="D39" s="390" t="s">
        <v>555</v>
      </c>
      <c r="E39" s="391" t="s">
        <v>556</v>
      </c>
    </row>
    <row r="40" spans="2:5">
      <c r="B40" s="389" t="s">
        <v>526</v>
      </c>
      <c r="C40" s="390" t="s">
        <v>524</v>
      </c>
      <c r="D40" s="390" t="s">
        <v>527</v>
      </c>
      <c r="E40" s="391" t="s">
        <v>528</v>
      </c>
    </row>
    <row r="41" spans="2:5">
      <c r="B41" s="389" t="s">
        <v>594</v>
      </c>
      <c r="C41" s="390" t="s">
        <v>595</v>
      </c>
      <c r="D41" s="390" t="s">
        <v>521</v>
      </c>
      <c r="E41" s="391" t="s">
        <v>522</v>
      </c>
    </row>
    <row r="42" spans="2:5">
      <c r="B42" s="389" t="s">
        <v>716</v>
      </c>
      <c r="C42" s="390" t="s">
        <v>586</v>
      </c>
      <c r="D42" s="390" t="s">
        <v>571</v>
      </c>
      <c r="E42" s="391" t="s">
        <v>572</v>
      </c>
    </row>
    <row r="43" spans="2:5">
      <c r="B43" s="389" t="s">
        <v>515</v>
      </c>
      <c r="C43" s="390" t="s">
        <v>512</v>
      </c>
      <c r="D43" s="390" t="s">
        <v>516</v>
      </c>
      <c r="E43" s="391" t="s">
        <v>517</v>
      </c>
    </row>
    <row r="44" spans="2:5">
      <c r="B44" s="389" t="s">
        <v>541</v>
      </c>
      <c r="C44" s="390" t="s">
        <v>524</v>
      </c>
      <c r="D44" s="390" t="s">
        <v>542</v>
      </c>
      <c r="E44" s="391" t="s">
        <v>543</v>
      </c>
    </row>
    <row r="45" spans="2:5">
      <c r="B45" s="389" t="s">
        <v>557</v>
      </c>
      <c r="C45" s="390" t="s">
        <v>558</v>
      </c>
      <c r="D45" s="390" t="s">
        <v>559</v>
      </c>
      <c r="E45" s="391" t="s">
        <v>560</v>
      </c>
    </row>
    <row r="46" spans="2:5">
      <c r="B46" s="389" t="s">
        <v>548</v>
      </c>
      <c r="C46" s="390" t="s">
        <v>545</v>
      </c>
      <c r="D46" s="390" t="s">
        <v>503</v>
      </c>
      <c r="E46" s="391" t="s">
        <v>503</v>
      </c>
    </row>
    <row r="47" spans="2:5">
      <c r="B47" s="389" t="s">
        <v>544</v>
      </c>
      <c r="C47" s="390" t="s">
        <v>545</v>
      </c>
      <c r="D47" s="390" t="s">
        <v>546</v>
      </c>
      <c r="E47" s="391" t="s">
        <v>547</v>
      </c>
    </row>
    <row r="48" spans="2:5">
      <c r="B48" s="389" t="s">
        <v>566</v>
      </c>
      <c r="C48" s="390" t="s">
        <v>565</v>
      </c>
      <c r="D48" s="390" t="s">
        <v>567</v>
      </c>
      <c r="E48" s="391" t="s">
        <v>568</v>
      </c>
    </row>
    <row r="49" spans="2:5">
      <c r="B49" s="389" t="s">
        <v>578</v>
      </c>
      <c r="C49" s="390" t="s">
        <v>579</v>
      </c>
      <c r="D49" s="390" t="s">
        <v>503</v>
      </c>
      <c r="E49" s="391" t="s">
        <v>503</v>
      </c>
    </row>
    <row r="50" spans="2:5">
      <c r="B50" s="389" t="s">
        <v>523</v>
      </c>
      <c r="C50" s="390" t="s">
        <v>524</v>
      </c>
      <c r="D50" s="390" t="s">
        <v>503</v>
      </c>
      <c r="E50" s="391" t="s">
        <v>525</v>
      </c>
    </row>
    <row r="51" spans="2:5">
      <c r="B51" s="392" t="s">
        <v>591</v>
      </c>
      <c r="C51" s="393" t="s">
        <v>592</v>
      </c>
      <c r="D51" s="393" t="s">
        <v>503</v>
      </c>
      <c r="E51" s="394" t="s">
        <v>593</v>
      </c>
    </row>
  </sheetData>
  <sheetProtection algorithmName="SHA-512" hashValue="6TJBg/hpEVHBi3L2nn9w60Bd6vMo14Wxcat3oKpxxnoA0r7vYjKKbnkJK8INP+sVnaLYS3fdFzoadk6S3zUl9g==" saltValue="oocYYXKuE6Gj3bgi4qAetQ==" spinCount="100000" sheet="1" objects="1" scenarios="1" selectLockedCells="1" selectUnlockedCells="1"/>
  <pageMargins left="0.7" right="0.7" top="0.75" bottom="0.75" header="0.3" footer="0.3"/>
  <pageSetup orientation="portrait" r:id="rId1"/>
  <headerFooter>
    <oddHeader>&amp;L&amp;12&amp;"Tahoma"شماره پرونده: 8798_x000D_شناسه ملي آسانسور: 7899874342</oddHeader>
  </headerFooter>
  <tableParts count="1">
    <tablePart r:id="rId2"/>
  </tableParts>
</worksheet>
</file>

<file path=xl/worksheets/sheet1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sheetPr codeName="Sheet12"/>
  <dimension ref="B2:K60"/>
  <sheetViews>
    <sheetView rightToLeft="1" workbookViewId="0">
      <selection activeCell="J7" sqref="J7"/>
    </sheetView>
  </sheetViews>
  <sheetFormatPr defaultColWidth="9.296875" defaultRowHeight="12.75"/>
  <cols>
    <col min="1" max="1" width="3.3984375" style="376" customWidth="1"/>
    <col min="2" max="2" width="10" style="376" customWidth="1"/>
    <col min="3" max="3" width="4.59765625" style="376" bestFit="1" customWidth="1"/>
    <col min="4" max="4" width="5.8984375" style="376" bestFit="1" customWidth="1"/>
    <col min="5" max="5" width="6.3984375" style="376" bestFit="1" customWidth="1"/>
    <col min="6" max="6" width="2.69921875" style="376" customWidth="1"/>
    <col min="7" max="7" width="6.69921875" style="376" bestFit="1" customWidth="1"/>
    <col min="8" max="8" width="8.69921875" style="380" bestFit="1" customWidth="1"/>
    <col min="9" max="9" width="4" style="376" customWidth="1"/>
    <col min="10" max="10" width="5.69921875" style="376" bestFit="1" customWidth="1"/>
    <col min="11" max="11" width="4.8984375" style="376" bestFit="1" customWidth="1"/>
    <col min="12" max="12" width="3.59765625" style="376" bestFit="1" customWidth="1"/>
    <col min="13" max="16384" width="9.296875" style="376"/>
  </cols>
  <sheetData>
    <row r="2" spans="2:11">
      <c r="B2" s="208" t="s">
        <v>106</v>
      </c>
      <c r="C2" s="378" t="s">
        <v>477</v>
      </c>
      <c r="D2" s="376" t="s">
        <v>478</v>
      </c>
      <c r="E2" s="376" t="s">
        <v>476</v>
      </c>
      <c r="G2" s="880" t="s">
        <v>479</v>
      </c>
      <c r="H2" s="881" t="s">
        <v>491</v>
      </c>
      <c r="I2" s="381" t="s">
        <v>485</v>
      </c>
      <c r="J2" s="381" t="s">
        <v>486</v>
      </c>
    </row>
    <row r="3" spans="2:11" ht="14.25">
      <c r="B3" s="384" t="s">
        <v>397</v>
      </c>
      <c r="C3" s="376">
        <f>45</f>
        <v>45</v>
      </c>
      <c r="D3" s="376">
        <f>0</f>
        <v>0</v>
      </c>
      <c r="E3" s="376">
        <f>Tbl_door[[#This Row],[Rate]]*Tbl_door[[#This Row],[leaf]]</f>
        <v>0</v>
      </c>
      <c r="G3" s="880"/>
      <c r="H3" s="881"/>
      <c r="I3" s="381" t="s">
        <v>487</v>
      </c>
      <c r="J3" s="381" t="s">
        <v>487</v>
      </c>
    </row>
    <row r="4" spans="2:11">
      <c r="B4" s="383" t="s">
        <v>474</v>
      </c>
      <c r="C4" s="376">
        <f>45</f>
        <v>45</v>
      </c>
      <c r="D4" s="376">
        <f>0</f>
        <v>0</v>
      </c>
      <c r="E4" s="376">
        <f>Tbl_door[[#This Row],[Rate]]*Tbl_door[[#This Row],[leaf]]</f>
        <v>0</v>
      </c>
      <c r="G4" s="376" t="s">
        <v>480</v>
      </c>
      <c r="H4" s="532" t="b">
        <v>1</v>
      </c>
      <c r="I4" s="376">
        <f>IF(H4,DD1.*DW1./1000000,0)</f>
        <v>5.3999999999999999E-2</v>
      </c>
      <c r="J4" s="386">
        <f>IF(H4,VLOOKUP(DT1.,Tbl_door[],4,0)*DW1./1000000,0)</f>
        <v>2.0250000000000001E-2</v>
      </c>
    </row>
    <row r="5" spans="2:11">
      <c r="B5" s="383" t="s">
        <v>471</v>
      </c>
      <c r="C5" s="376">
        <f>45</f>
        <v>45</v>
      </c>
      <c r="D5" s="376">
        <f>0.5</f>
        <v>0.5</v>
      </c>
      <c r="E5" s="376">
        <f>Tbl_door[[#This Row],[Rate]]*Tbl_door[[#This Row],[leaf]]</f>
        <v>22.5</v>
      </c>
      <c r="G5" s="376" t="s">
        <v>481</v>
      </c>
      <c r="H5" s="533" t="b">
        <v>0</v>
      </c>
      <c r="I5" s="376">
        <f>IF(H5,DD2.*DW2./1000000,0)</f>
        <v>0</v>
      </c>
      <c r="J5" s="386">
        <f>IF(H5,VLOOKUP(DT2.,Tbl_door[],4,0)*DW2./1000000,0)</f>
        <v>0</v>
      </c>
    </row>
    <row r="6" spans="2:11">
      <c r="B6" s="383" t="s">
        <v>470</v>
      </c>
      <c r="C6" s="376">
        <f>45</f>
        <v>45</v>
      </c>
      <c r="D6" s="376">
        <f>0.5</f>
        <v>0.5</v>
      </c>
      <c r="E6" s="376">
        <f>Tbl_door[[#This Row],[Rate]]*Tbl_door[[#This Row],[leaf]]</f>
        <v>22.5</v>
      </c>
      <c r="G6" s="376" t="s">
        <v>482</v>
      </c>
      <c r="H6" s="533" t="b">
        <v>0</v>
      </c>
      <c r="I6" s="376">
        <f>IF(H6,DD3.*DW3./1000000,0)</f>
        <v>0</v>
      </c>
      <c r="J6" s="386">
        <f>IF(H6,VLOOKUP(DT3.,Tbl_door[],4,0)*DW3./1000000,0)</f>
        <v>0</v>
      </c>
    </row>
    <row r="7" spans="2:11">
      <c r="B7" s="383" t="s">
        <v>473</v>
      </c>
      <c r="C7" s="376">
        <f>45</f>
        <v>45</v>
      </c>
      <c r="D7" s="376">
        <f>(1/3+2/3)</f>
        <v>1</v>
      </c>
      <c r="E7" s="376">
        <f>Tbl_door[[#This Row],[Rate]]*Tbl_door[[#This Row],[leaf]]</f>
        <v>45</v>
      </c>
      <c r="G7" s="376" t="s">
        <v>484</v>
      </c>
      <c r="H7" s="533" t="b">
        <v>0</v>
      </c>
      <c r="I7" s="376">
        <f>IF(H7,DD4.*DW4./1000000,0)</f>
        <v>0</v>
      </c>
      <c r="J7" s="386">
        <f>IF(H7,VLOOKUP(DT4.,Tbl_door[],4,0)*DW4./1000000,0)</f>
        <v>0</v>
      </c>
    </row>
    <row r="8" spans="2:11" ht="14.25">
      <c r="B8" s="383" t="s">
        <v>472</v>
      </c>
      <c r="C8" s="376">
        <f>45</f>
        <v>45</v>
      </c>
      <c r="D8" s="376">
        <f>(2/3+1/3)</f>
        <v>1</v>
      </c>
      <c r="E8" s="376">
        <f>Tbl_door[[#This Row],[Rate]]*Tbl_door[[#This Row],[leaf]]</f>
        <v>45</v>
      </c>
      <c r="H8" s="380">
        <f>ABS(En_D1+En_D2+En_D3+En_D4)</f>
        <v>1</v>
      </c>
      <c r="I8" s="387">
        <f>ROUND(SUM(I4:I7),3)</f>
        <v>5.3999999999999999E-2</v>
      </c>
      <c r="J8" s="568">
        <f>ROUND(SUM(J4:J7),3)</f>
        <v>0.02</v>
      </c>
      <c r="K8" s="377" t="s">
        <v>488</v>
      </c>
    </row>
    <row r="9" spans="2:11" ht="14.25">
      <c r="B9" s="383" t="s">
        <v>475</v>
      </c>
      <c r="C9" s="376">
        <f>45</f>
        <v>45</v>
      </c>
      <c r="D9" s="376">
        <f>(3/4+2/4+1/4)</f>
        <v>1.5</v>
      </c>
      <c r="E9" s="376">
        <f>Tbl_door[[#This Row],[Rate]]*Tbl_door[[#This Row],[leaf]]</f>
        <v>67.5</v>
      </c>
      <c r="H9" s="539" t="s">
        <v>494</v>
      </c>
      <c r="I9" s="539" t="s">
        <v>493</v>
      </c>
      <c r="J9" s="539" t="s">
        <v>492</v>
      </c>
    </row>
    <row r="10" spans="2:11">
      <c r="C10" s="379"/>
      <c r="E10" s="379"/>
      <c r="H10" s="540">
        <f>Amax</f>
        <v>2</v>
      </c>
      <c r="I10" s="540">
        <f>Atotal</f>
        <v>1.964</v>
      </c>
      <c r="J10" s="540">
        <f>Amin</f>
        <v>1.73</v>
      </c>
    </row>
    <row r="11" spans="2:11">
      <c r="B11" s="382" t="s">
        <v>483</v>
      </c>
    </row>
    <row r="12" spans="2:11">
      <c r="B12" s="376">
        <v>600</v>
      </c>
    </row>
    <row r="13" spans="2:11">
      <c r="B13" s="376">
        <v>650</v>
      </c>
    </row>
    <row r="14" spans="2:11">
      <c r="B14" s="376">
        <v>700</v>
      </c>
    </row>
    <row r="15" spans="2:11">
      <c r="B15" s="376">
        <v>750</v>
      </c>
    </row>
    <row r="16" spans="2:11">
      <c r="B16" s="376">
        <v>800</v>
      </c>
    </row>
    <row r="17" spans="2:2">
      <c r="B17" s="376">
        <v>850</v>
      </c>
    </row>
    <row r="18" spans="2:2">
      <c r="B18" s="376">
        <v>900</v>
      </c>
    </row>
    <row r="19" spans="2:2">
      <c r="B19" s="376">
        <v>950</v>
      </c>
    </row>
    <row r="20" spans="2:2">
      <c r="B20" s="376">
        <v>1000</v>
      </c>
    </row>
    <row r="21" spans="2:2">
      <c r="B21" s="376">
        <v>1050</v>
      </c>
    </row>
    <row r="22" spans="2:2">
      <c r="B22" s="376">
        <v>1100</v>
      </c>
    </row>
    <row r="23" spans="2:2">
      <c r="B23" s="376">
        <v>1150</v>
      </c>
    </row>
    <row r="24" spans="2:2">
      <c r="B24" s="376">
        <v>1200</v>
      </c>
    </row>
    <row r="25" spans="2:2">
      <c r="B25" s="376">
        <v>1250</v>
      </c>
    </row>
    <row r="26" spans="2:2">
      <c r="B26" s="376">
        <v>1300</v>
      </c>
    </row>
    <row r="27" spans="2:2">
      <c r="B27" s="376">
        <v>1350</v>
      </c>
    </row>
    <row r="28" spans="2:2">
      <c r="B28" s="376">
        <v>1400</v>
      </c>
    </row>
    <row r="29" spans="2:2">
      <c r="B29" s="376">
        <v>1450</v>
      </c>
    </row>
    <row r="30" spans="2:2">
      <c r="B30" s="376">
        <v>1500</v>
      </c>
    </row>
    <row r="31" spans="2:2">
      <c r="B31" s="376">
        <v>1550</v>
      </c>
    </row>
    <row r="32" spans="2:2">
      <c r="B32" s="376">
        <v>1600</v>
      </c>
    </row>
    <row r="33" spans="2:2">
      <c r="B33" s="376">
        <v>1650</v>
      </c>
    </row>
    <row r="34" spans="2:2">
      <c r="B34" s="376">
        <v>1700</v>
      </c>
    </row>
    <row r="35" spans="2:2">
      <c r="B35" s="376">
        <v>1750</v>
      </c>
    </row>
    <row r="36" spans="2:2">
      <c r="B36" s="376">
        <v>1800</v>
      </c>
    </row>
    <row r="37" spans="2:2">
      <c r="B37" s="376">
        <v>1850</v>
      </c>
    </row>
    <row r="38" spans="2:2">
      <c r="B38" s="376">
        <v>1900</v>
      </c>
    </row>
    <row r="39" spans="2:2">
      <c r="B39" s="376">
        <v>1950</v>
      </c>
    </row>
    <row r="40" spans="2:2">
      <c r="B40" s="376">
        <v>2000</v>
      </c>
    </row>
    <row r="41" spans="2:2">
      <c r="B41" s="376">
        <v>2050</v>
      </c>
    </row>
    <row r="42" spans="2:2">
      <c r="B42" s="376">
        <v>2100</v>
      </c>
    </row>
    <row r="43" spans="2:2">
      <c r="B43" s="376">
        <v>2150</v>
      </c>
    </row>
    <row r="44" spans="2:2">
      <c r="B44" s="376">
        <v>2200</v>
      </c>
    </row>
    <row r="45" spans="2:2">
      <c r="B45" s="376">
        <v>2250</v>
      </c>
    </row>
    <row r="46" spans="2:2">
      <c r="B46" s="376">
        <v>2300</v>
      </c>
    </row>
    <row r="47" spans="2:2">
      <c r="B47" s="376">
        <v>2350</v>
      </c>
    </row>
    <row r="48" spans="2:2">
      <c r="B48" s="376">
        <v>2400</v>
      </c>
    </row>
    <row r="49" spans="2:2">
      <c r="B49" s="376">
        <v>2450</v>
      </c>
    </row>
    <row r="50" spans="2:2">
      <c r="B50" s="376">
        <v>2500</v>
      </c>
    </row>
    <row r="51" spans="2:2">
      <c r="B51" s="376">
        <v>2550</v>
      </c>
    </row>
    <row r="52" spans="2:2">
      <c r="B52" s="376">
        <v>2600</v>
      </c>
    </row>
    <row r="53" spans="2:2">
      <c r="B53" s="376">
        <v>2650</v>
      </c>
    </row>
    <row r="54" spans="2:2">
      <c r="B54" s="376">
        <v>2700</v>
      </c>
    </row>
    <row r="55" spans="2:2">
      <c r="B55" s="376">
        <v>2750</v>
      </c>
    </row>
    <row r="56" spans="2:2">
      <c r="B56" s="376">
        <v>2800</v>
      </c>
    </row>
    <row r="57" spans="2:2">
      <c r="B57" s="376">
        <v>2850</v>
      </c>
    </row>
    <row r="58" spans="2:2">
      <c r="B58" s="376">
        <v>2900</v>
      </c>
    </row>
    <row r="59" spans="2:2">
      <c r="B59" s="376">
        <v>2950</v>
      </c>
    </row>
    <row r="60" spans="2:2">
      <c r="B60" s="376">
        <v>3000</v>
      </c>
    </row>
  </sheetData>
  <sheetProtection algorithmName="SHA-512" hashValue="FFwaMd6AcmOxo3KQG5dFZiFg2T5aWpmQwNvBWpoV3wl9CKi1Pq8ZCfTdXxctP5ezaReIyH0CiZ234Z2PDhGdqg==" saltValue="J7+o4e/YEUtBd0Vytq2KZw==" spinCount="100000" sheet="1" objects="1" scenarios="1" selectLockedCells="1" selectUnlockedCells="1"/>
  <mergeCells count="2">
    <mergeCell ref="G2:G3"/>
    <mergeCell ref="H2:H3"/>
  </mergeCells>
  <conditionalFormatting sqref="I10:J10">
    <cfRule type="expression" dxfId="13" priority="2">
      <formula>Amin&gt;Atotal</formula>
    </cfRule>
  </conditionalFormatting>
  <conditionalFormatting sqref="H10:I10">
    <cfRule type="expression" dxfId="12" priority="1">
      <formula>Atotal&gt;Amax</formula>
    </cfRule>
  </conditionalFormatting>
  <dataValidations count="2">
    <dataValidation showDropDown="1" showInputMessage="1" showErrorMessage="1" sqref="H4"/>
    <dataValidation showErrorMessage="1" promptTitle="مقدار اورهد" prompt="مقدار اورهد را بر حسب سانتيمتر وارد كنيد" sqref="B5"/>
  </dataValidations>
  <pageMargins left="0.7" right="0.7" top="0.75" bottom="0.75" header="0.3" footer="0.3"/>
  <pageSetup orientation="portrait" r:id="rId1"/>
  <headerFooter>
    <oddHeader>&amp;L&amp;12&amp;"Tahoma"شماره پرونده: 8798_x000D_شناسه ملي آسانسور: 7899874342</oddHeader>
  </headerFooter>
  <drawing r:id="rId2"/>
  <mc:AlternateContent xmlns:mc="http://schemas.openxmlformats.org/markup-compatibility/2006">
    <mc:Choice Requires="v">
      <legacyDrawing r:id="rId3"/>
    </mc:Choice>
  </mc:AlternateContent>
  <controls>
    <control shapeId="13352" r:id="rId4" name="Door1_enable">
      <controlPr defaultSize="0" autoFill="0" autoLine="0" autoPict="0">
        <anchor moveWithCells="1">
          <from>
            <xdr:col>7</xdr:col>
            <xdr:colOff>28575</xdr:colOff>
            <xdr:row>3</xdr:row>
            <xdr:rowOff>19050</xdr:rowOff>
          </from>
          <to>
            <xdr:col>7</xdr:col>
            <xdr:colOff>400050</xdr:colOff>
            <xdr:row>4</xdr:row>
            <xdr:rowOff>19050</xdr:rowOff>
          </to>
        </anchor>
      </controlPr>
    </control>
    <control shapeId="13353" r:id="rId5" name="door2_enable">
      <controlPr defaultSize="0" autoFill="0" autoLine="0" autoPict="0">
        <anchor moveWithCells="1">
          <from>
            <xdr:col>7</xdr:col>
            <xdr:colOff>0</xdr:colOff>
            <xdr:row>4</xdr:row>
            <xdr:rowOff>19050</xdr:rowOff>
          </from>
          <to>
            <xdr:col>7</xdr:col>
            <xdr:colOff>514350</xdr:colOff>
            <xdr:row>5</xdr:row>
            <xdr:rowOff>0</xdr:rowOff>
          </to>
        </anchor>
      </controlPr>
    </control>
    <control shapeId="13354" r:id="rId6" name="Check Box 42">
      <controlPr defaultSize="0" autoFill="0" autoLine="0" autoPict="0">
        <anchor moveWithCells="1">
          <from>
            <xdr:col>7</xdr:col>
            <xdr:colOff>0</xdr:colOff>
            <xdr:row>5</xdr:row>
            <xdr:rowOff>19050</xdr:rowOff>
          </from>
          <to>
            <xdr:col>7</xdr:col>
            <xdr:colOff>361950</xdr:colOff>
            <xdr:row>6</xdr:row>
            <xdr:rowOff>0</xdr:rowOff>
          </to>
        </anchor>
      </controlPr>
    </control>
    <control shapeId="13356" r:id="rId7" name="door2_enable">
      <controlPr defaultSize="0" autoFill="0" autoLine="0" autoPict="0">
        <anchor moveWithCells="1">
          <from>
            <xdr:col>7</xdr:col>
            <xdr:colOff>19050</xdr:colOff>
            <xdr:row>6</xdr:row>
            <xdr:rowOff>19050</xdr:rowOff>
          </from>
          <to>
            <xdr:col>7</xdr:col>
            <xdr:colOff>514350</xdr:colOff>
            <xdr:row>7</xdr:row>
            <xdr:rowOff>0</xdr:rowOff>
          </to>
        </anchor>
      </controlPr>
    </control>
  </controls>
  <tableParts count="2">
    <tablePart r:id="rId8"/>
    <tablePart r:id="rId9"/>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1"/>
  <dimension ref="A1"/>
  <sheetViews>
    <sheetView rightToLeft="1" workbookViewId="0">
      <selection activeCell="I13" sqref="I13"/>
    </sheetView>
  </sheetViews>
  <sheetFormatPr defaultRowHeight="18.75"/>
  <sheetData>
    <row r="1" spans="1:1">
      <c r="A1">
        <f>P+Q</f>
        <v>1600</v>
      </c>
    </row>
  </sheetData>
  <pageMargins left="0.7" right="0.7" top="0.75" bottom="0.75" header="0.3" footer="0.3"/>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2"/>
  <dimension ref="A1:M49"/>
  <sheetViews>
    <sheetView showGridLines="0" showRowColHeaders="0" rightToLeft="1" zoomScale="110" zoomScaleNormal="110" zoomScaleSheetLayoutView="100" workbookViewId="0">
      <selection activeCell="F15" sqref="F15"/>
    </sheetView>
  </sheetViews>
  <sheetFormatPr defaultColWidth="22.19921875" defaultRowHeight="22.5" customHeight="1"/>
  <cols>
    <col min="1" max="1" width="0.69921875" style="656" customWidth="1"/>
    <col min="2" max="2" width="19.09765625" style="656" customWidth="1"/>
    <col min="3" max="3" width="10.3984375" style="656" customWidth="1"/>
    <col min="4" max="4" width="0.796875" style="656" customWidth="1"/>
    <col min="5" max="5" width="17.3984375" style="656" bestFit="1" customWidth="1"/>
    <col min="6" max="6" width="10.5" style="656" bestFit="1" customWidth="1"/>
    <col min="7" max="7" width="1.09765625" style="656" customWidth="1"/>
    <col min="8" max="8" width="17.296875" style="656" bestFit="1" customWidth="1"/>
    <col min="9" max="9" width="11.5" style="656" customWidth="1"/>
    <col min="10" max="10" width="0.8984375" style="656" customWidth="1"/>
    <col min="11" max="11" width="19.296875" style="656" customWidth="1"/>
    <col min="12" max="12" width="14.69921875" style="656" customWidth="1"/>
    <col min="13" max="13" width="22.19921875" style="655"/>
    <col min="14" max="16384" width="22.19921875" style="656"/>
  </cols>
  <sheetData>
    <row r="1" spans="1:12" ht="12.75">
      <c r="A1" s="655"/>
      <c r="B1" s="655"/>
      <c r="C1" s="655"/>
      <c r="D1" s="655"/>
      <c r="E1" s="655"/>
      <c r="F1" s="655"/>
      <c r="G1" s="655"/>
      <c r="H1" s="655"/>
      <c r="I1" s="655"/>
      <c r="J1" s="655"/>
      <c r="K1" s="655"/>
      <c r="L1" s="655"/>
    </row>
    <row r="2" spans="1:12" ht="12.75">
      <c r="A2" s="655"/>
      <c r="B2" s="722" t="s">
        <v>896</v>
      </c>
      <c r="C2" s="722"/>
      <c r="D2" s="655"/>
      <c r="E2" s="723" t="s">
        <v>895</v>
      </c>
      <c r="F2" s="723"/>
      <c r="G2" s="655"/>
      <c r="H2" s="724" t="s">
        <v>894</v>
      </c>
      <c r="I2" s="725"/>
      <c r="J2" s="655"/>
      <c r="K2" s="724" t="s">
        <v>893</v>
      </c>
      <c r="L2" s="725"/>
    </row>
    <row r="3" spans="1:12" ht="12.75">
      <c r="A3" s="655"/>
      <c r="B3" s="657" t="s">
        <v>892</v>
      </c>
      <c r="C3" s="658">
        <f>H.</f>
        <v>28.8</v>
      </c>
      <c r="D3" s="655"/>
      <c r="E3" s="659" t="s">
        <v>891</v>
      </c>
      <c r="F3" s="660"/>
      <c r="G3" s="655"/>
      <c r="H3" s="659" t="s">
        <v>890</v>
      </c>
      <c r="I3" s="660"/>
      <c r="J3" s="655"/>
      <c r="K3" s="659" t="s">
        <v>827</v>
      </c>
      <c r="L3" s="679"/>
    </row>
    <row r="4" spans="1:12" ht="12.75">
      <c r="A4" s="655"/>
      <c r="B4" s="661" t="s">
        <v>889</v>
      </c>
      <c r="C4" s="662"/>
      <c r="D4" s="655"/>
      <c r="E4" s="663" t="s">
        <v>888</v>
      </c>
      <c r="F4" s="664">
        <f>DW1./10</f>
        <v>90</v>
      </c>
      <c r="G4" s="655"/>
      <c r="H4" s="663" t="s">
        <v>887</v>
      </c>
      <c r="I4" s="665"/>
      <c r="J4" s="655"/>
      <c r="K4" s="663" t="s">
        <v>886</v>
      </c>
      <c r="L4" s="680"/>
    </row>
    <row r="5" spans="1:12" ht="12.75">
      <c r="A5" s="655"/>
      <c r="B5" s="657" t="s">
        <v>885</v>
      </c>
      <c r="C5" s="658">
        <f>VCar</f>
        <v>1.6</v>
      </c>
      <c r="D5" s="655"/>
      <c r="E5" s="659" t="s">
        <v>884</v>
      </c>
      <c r="F5" s="660"/>
      <c r="G5" s="655"/>
      <c r="H5" s="659" t="s">
        <v>883</v>
      </c>
      <c r="I5" s="660"/>
      <c r="J5" s="655"/>
      <c r="K5" s="659" t="s">
        <v>882</v>
      </c>
      <c r="L5" s="679"/>
    </row>
    <row r="6" spans="1:12" ht="12.75">
      <c r="A6" s="655"/>
      <c r="B6" s="667"/>
      <c r="C6" s="655"/>
      <c r="D6" s="655"/>
      <c r="E6" s="663" t="s">
        <v>881</v>
      </c>
      <c r="F6" s="665"/>
      <c r="G6" s="655"/>
      <c r="H6" s="666" t="s">
        <v>816</v>
      </c>
      <c r="I6" s="665"/>
      <c r="J6" s="655"/>
      <c r="K6" s="663" t="s">
        <v>880</v>
      </c>
      <c r="L6" s="680"/>
    </row>
    <row r="7" spans="1:12" ht="12.75">
      <c r="A7" s="655"/>
      <c r="B7" s="655"/>
      <c r="C7" s="655"/>
      <c r="D7" s="655"/>
      <c r="E7" s="655"/>
      <c r="F7" s="655"/>
      <c r="G7" s="655"/>
      <c r="H7" s="659" t="s">
        <v>827</v>
      </c>
      <c r="I7" s="660"/>
      <c r="J7" s="655"/>
      <c r="K7" s="655"/>
      <c r="L7" s="655"/>
    </row>
    <row r="8" spans="1:12" ht="12.75">
      <c r="A8" s="655"/>
      <c r="B8" s="655"/>
      <c r="C8" s="655"/>
      <c r="D8" s="655"/>
      <c r="E8" s="655"/>
      <c r="F8" s="655"/>
      <c r="G8" s="655"/>
      <c r="H8" s="655"/>
      <c r="I8" s="655"/>
      <c r="J8" s="655"/>
      <c r="K8" s="655"/>
      <c r="L8" s="655"/>
    </row>
    <row r="9" spans="1:12" ht="12.75">
      <c r="A9" s="655"/>
      <c r="B9" s="724" t="s">
        <v>879</v>
      </c>
      <c r="C9" s="725"/>
      <c r="D9" s="655"/>
      <c r="E9" s="724" t="s">
        <v>878</v>
      </c>
      <c r="F9" s="725"/>
      <c r="G9" s="655"/>
      <c r="H9" s="726" t="s">
        <v>877</v>
      </c>
      <c r="I9" s="726"/>
      <c r="J9" s="655"/>
      <c r="K9" s="723" t="s">
        <v>876</v>
      </c>
      <c r="L9" s="723"/>
    </row>
    <row r="10" spans="1:12" ht="25.5">
      <c r="A10" s="655"/>
      <c r="B10" s="720" t="s">
        <v>875</v>
      </c>
      <c r="C10" s="721"/>
      <c r="D10" s="655"/>
      <c r="E10" s="720" t="s">
        <v>874</v>
      </c>
      <c r="F10" s="721"/>
      <c r="G10" s="655"/>
      <c r="H10" s="727" t="s">
        <v>873</v>
      </c>
      <c r="I10" s="727"/>
      <c r="J10" s="655"/>
      <c r="K10" s="668" t="s">
        <v>901</v>
      </c>
      <c r="L10" s="665" t="str">
        <f>Motor_type</f>
        <v>Wittur/SG8</v>
      </c>
    </row>
    <row r="11" spans="1:12" ht="25.5">
      <c r="A11" s="655"/>
      <c r="B11" s="659" t="s">
        <v>854</v>
      </c>
      <c r="C11" s="660" t="s">
        <v>897</v>
      </c>
      <c r="D11" s="655"/>
      <c r="E11" s="659" t="s">
        <v>862</v>
      </c>
      <c r="F11" s="669" t="str">
        <f>Guide_Shoe_Type</f>
        <v>لغزشی با روغن</v>
      </c>
      <c r="G11" s="655"/>
      <c r="H11" s="670" t="s">
        <v>864</v>
      </c>
      <c r="I11" s="674"/>
      <c r="J11" s="655"/>
      <c r="K11" s="659" t="s">
        <v>814</v>
      </c>
      <c r="L11" s="674"/>
    </row>
    <row r="12" spans="1:12" ht="12.75">
      <c r="A12" s="655"/>
      <c r="B12" s="663" t="s">
        <v>852</v>
      </c>
      <c r="C12" s="664">
        <f>Dt/10</f>
        <v>40</v>
      </c>
      <c r="D12" s="655"/>
      <c r="E12" s="663" t="s">
        <v>863</v>
      </c>
      <c r="F12" s="665"/>
      <c r="G12" s="655"/>
      <c r="H12" s="663" t="s">
        <v>862</v>
      </c>
      <c r="I12" s="665"/>
      <c r="J12" s="655"/>
      <c r="K12" s="663" t="s">
        <v>862</v>
      </c>
      <c r="L12" s="665"/>
    </row>
    <row r="13" spans="1:12" ht="12.75">
      <c r="A13" s="655"/>
      <c r="B13" s="659" t="s">
        <v>872</v>
      </c>
      <c r="C13" s="660"/>
      <c r="D13" s="655"/>
      <c r="E13" s="659" t="s">
        <v>861</v>
      </c>
      <c r="F13" s="660"/>
      <c r="G13" s="655"/>
      <c r="H13" s="659" t="s">
        <v>844</v>
      </c>
      <c r="I13" s="674"/>
      <c r="J13" s="655"/>
      <c r="K13" s="659" t="s">
        <v>816</v>
      </c>
      <c r="L13" s="674"/>
    </row>
    <row r="14" spans="1:12" ht="12.75">
      <c r="A14" s="655"/>
      <c r="B14" s="663" t="s">
        <v>871</v>
      </c>
      <c r="C14" s="664" t="str">
        <f>Groove_Type</f>
        <v>U</v>
      </c>
      <c r="D14" s="655"/>
      <c r="E14" s="663" t="s">
        <v>859</v>
      </c>
      <c r="F14" s="665"/>
      <c r="G14" s="655"/>
      <c r="H14" s="663" t="s">
        <v>858</v>
      </c>
      <c r="I14" s="665"/>
      <c r="J14" s="655"/>
      <c r="K14" s="663" t="s">
        <v>870</v>
      </c>
      <c r="L14" s="665"/>
    </row>
    <row r="15" spans="1:12" ht="12.75">
      <c r="A15" s="655"/>
      <c r="B15" s="659" t="s">
        <v>869</v>
      </c>
      <c r="C15" s="669" t="str">
        <f>IF(Beta=0,"ندارد","دارد")</f>
        <v>دارد</v>
      </c>
      <c r="D15" s="655"/>
      <c r="E15" s="659" t="s">
        <v>857</v>
      </c>
      <c r="F15" s="660"/>
      <c r="G15" s="655"/>
      <c r="H15" s="659" t="s">
        <v>856</v>
      </c>
      <c r="I15" s="674"/>
      <c r="J15" s="655"/>
      <c r="K15" s="659" t="s">
        <v>868</v>
      </c>
      <c r="L15" s="674"/>
    </row>
    <row r="16" spans="1:12" ht="22.5" customHeight="1">
      <c r="A16" s="655"/>
      <c r="B16" s="663" t="s">
        <v>898</v>
      </c>
      <c r="C16" s="664">
        <f>Alpha.</f>
        <v>180</v>
      </c>
      <c r="D16" s="655"/>
      <c r="E16" s="720" t="s">
        <v>867</v>
      </c>
      <c r="F16" s="721"/>
      <c r="G16" s="655"/>
      <c r="H16" s="727" t="s">
        <v>866</v>
      </c>
      <c r="I16" s="727"/>
      <c r="J16" s="655"/>
      <c r="K16" s="663" t="s">
        <v>865</v>
      </c>
      <c r="L16" s="665"/>
    </row>
    <row r="17" spans="1:12" ht="25.5">
      <c r="A17" s="655"/>
      <c r="B17" s="659" t="s">
        <v>899</v>
      </c>
      <c r="C17" s="669">
        <f>Beta</f>
        <v>97.2</v>
      </c>
      <c r="D17" s="655"/>
      <c r="E17" s="659" t="s">
        <v>862</v>
      </c>
      <c r="F17" s="660"/>
      <c r="G17" s="655"/>
      <c r="H17" s="670" t="s">
        <v>864</v>
      </c>
      <c r="I17" s="674"/>
      <c r="J17" s="655"/>
      <c r="K17" s="659" t="s">
        <v>906</v>
      </c>
      <c r="L17" s="674"/>
    </row>
    <row r="18" spans="1:12" ht="12.75">
      <c r="A18" s="655"/>
      <c r="B18" s="663" t="s">
        <v>900</v>
      </c>
      <c r="C18" s="664">
        <f>Gamma</f>
        <v>25</v>
      </c>
      <c r="D18" s="655"/>
      <c r="E18" s="663" t="s">
        <v>863</v>
      </c>
      <c r="F18" s="665"/>
      <c r="G18" s="655"/>
      <c r="H18" s="663" t="s">
        <v>862</v>
      </c>
      <c r="I18" s="665"/>
      <c r="J18" s="655"/>
      <c r="K18" s="663" t="s">
        <v>905</v>
      </c>
      <c r="L18" s="665"/>
    </row>
    <row r="19" spans="1:12" ht="12.75">
      <c r="A19" s="655"/>
      <c r="B19" s="659" t="s">
        <v>827</v>
      </c>
      <c r="C19" s="673"/>
      <c r="D19" s="655"/>
      <c r="E19" s="659" t="s">
        <v>861</v>
      </c>
      <c r="F19" s="660"/>
      <c r="G19" s="655"/>
      <c r="H19" s="659" t="s">
        <v>844</v>
      </c>
      <c r="I19" s="674"/>
      <c r="J19" s="655"/>
      <c r="K19" s="659" t="s">
        <v>860</v>
      </c>
      <c r="L19" s="674"/>
    </row>
    <row r="20" spans="1:12" ht="12.75">
      <c r="A20" s="655"/>
      <c r="B20" s="663" t="s">
        <v>816</v>
      </c>
      <c r="C20" s="672"/>
      <c r="E20" s="663" t="s">
        <v>859</v>
      </c>
      <c r="F20" s="665"/>
      <c r="H20" s="663" t="s">
        <v>858</v>
      </c>
      <c r="I20" s="665"/>
      <c r="J20" s="655"/>
      <c r="K20" s="663" t="s">
        <v>904</v>
      </c>
      <c r="L20" s="665"/>
    </row>
    <row r="21" spans="1:12" ht="12.75">
      <c r="A21" s="655"/>
      <c r="B21" s="659" t="s">
        <v>814</v>
      </c>
      <c r="C21" s="673"/>
      <c r="D21" s="655"/>
      <c r="E21" s="659" t="s">
        <v>857</v>
      </c>
      <c r="F21" s="660"/>
      <c r="H21" s="659" t="s">
        <v>856</v>
      </c>
      <c r="I21" s="660"/>
      <c r="J21" s="655"/>
      <c r="K21" s="659" t="s">
        <v>903</v>
      </c>
      <c r="L21" s="660"/>
    </row>
    <row r="22" spans="1:12" ht="25.5">
      <c r="A22" s="655"/>
      <c r="B22" s="720" t="s">
        <v>855</v>
      </c>
      <c r="C22" s="721"/>
      <c r="D22" s="655"/>
      <c r="E22" s="655"/>
      <c r="F22" s="655"/>
      <c r="G22" s="655"/>
      <c r="H22" s="655"/>
      <c r="I22" s="655"/>
      <c r="J22" s="655"/>
      <c r="K22" s="668" t="s">
        <v>902</v>
      </c>
      <c r="L22" s="665"/>
    </row>
    <row r="23" spans="1:12" ht="12.75">
      <c r="A23" s="655"/>
      <c r="B23" s="659" t="s">
        <v>854</v>
      </c>
      <c r="C23" s="669" t="str">
        <f>'ورودی ها'!E74</f>
        <v>پلیمری</v>
      </c>
      <c r="D23" s="655"/>
      <c r="E23" s="655"/>
      <c r="F23" s="655"/>
      <c r="G23" s="655"/>
      <c r="H23" s="655"/>
      <c r="I23" s="655"/>
      <c r="J23" s="655"/>
      <c r="K23" s="659" t="s">
        <v>853</v>
      </c>
      <c r="L23" s="660"/>
    </row>
    <row r="24" spans="1:12" ht="12.75">
      <c r="A24" s="655"/>
      <c r="B24" s="663" t="s">
        <v>852</v>
      </c>
      <c r="C24" s="664">
        <f>dDPcar/10</f>
        <v>40</v>
      </c>
      <c r="D24" s="655"/>
      <c r="E24" s="655"/>
      <c r="F24" s="655"/>
      <c r="G24" s="655"/>
      <c r="H24" s="655"/>
      <c r="I24" s="655"/>
      <c r="J24" s="655"/>
      <c r="K24" s="655"/>
      <c r="L24" s="655"/>
    </row>
    <row r="25" spans="1:12" ht="12.75">
      <c r="A25" s="655"/>
      <c r="B25" s="659" t="s">
        <v>851</v>
      </c>
      <c r="C25" s="669">
        <f>SUM('ورودی ها'!C74:C77)</f>
        <v>4</v>
      </c>
      <c r="D25" s="655"/>
      <c r="E25" s="724" t="s">
        <v>850</v>
      </c>
      <c r="F25" s="725"/>
      <c r="G25" s="655"/>
      <c r="H25" s="723" t="s">
        <v>849</v>
      </c>
      <c r="I25" s="723"/>
      <c r="K25" s="724" t="s">
        <v>848</v>
      </c>
      <c r="L25" s="725"/>
    </row>
    <row r="26" spans="1:12" ht="25.5">
      <c r="A26" s="655"/>
      <c r="B26" s="668" t="s">
        <v>909</v>
      </c>
      <c r="C26" s="665"/>
      <c r="D26" s="655"/>
      <c r="E26" s="659" t="s">
        <v>847</v>
      </c>
      <c r="F26" s="671">
        <f>DY/10</f>
        <v>140</v>
      </c>
      <c r="G26" s="655"/>
      <c r="H26" s="659" t="s">
        <v>815</v>
      </c>
      <c r="I26" s="660"/>
      <c r="J26" s="655"/>
      <c r="K26" s="659" t="s">
        <v>846</v>
      </c>
      <c r="L26" s="671" t="str">
        <f>Rope_Brand</f>
        <v>گوستاو ولف</v>
      </c>
    </row>
    <row r="27" spans="1:12" ht="12.75">
      <c r="A27" s="655"/>
      <c r="B27" s="659" t="s">
        <v>846</v>
      </c>
      <c r="C27" s="660"/>
      <c r="D27" s="655"/>
      <c r="E27" s="663" t="s">
        <v>845</v>
      </c>
      <c r="F27" s="664">
        <f>DX/10</f>
        <v>135</v>
      </c>
      <c r="G27" s="655"/>
      <c r="H27" s="663" t="s">
        <v>816</v>
      </c>
      <c r="I27" s="665"/>
      <c r="J27" s="655"/>
      <c r="K27" s="663" t="s">
        <v>844</v>
      </c>
      <c r="L27" s="664">
        <f>nS</f>
        <v>4</v>
      </c>
    </row>
    <row r="28" spans="1:12" ht="12.75">
      <c r="A28" s="655"/>
      <c r="B28" s="663" t="s">
        <v>816</v>
      </c>
      <c r="C28" s="665"/>
      <c r="D28" s="655"/>
      <c r="E28" s="659" t="s">
        <v>843</v>
      </c>
      <c r="F28" s="674"/>
      <c r="G28" s="655"/>
      <c r="H28" s="659" t="s">
        <v>842</v>
      </c>
      <c r="I28" s="669" t="str">
        <f>Safety_gear_Type</f>
        <v>تدریجی</v>
      </c>
      <c r="J28" s="655"/>
      <c r="K28" s="659" t="s">
        <v>841</v>
      </c>
      <c r="L28" s="671">
        <f>dsr</f>
        <v>10</v>
      </c>
    </row>
    <row r="29" spans="1:12" ht="25.5">
      <c r="A29" s="655"/>
      <c r="B29" s="659" t="s">
        <v>814</v>
      </c>
      <c r="C29" s="660"/>
      <c r="D29" s="655"/>
      <c r="E29" s="663" t="s">
        <v>840</v>
      </c>
      <c r="F29" s="664">
        <f>P</f>
        <v>800</v>
      </c>
      <c r="G29" s="655"/>
      <c r="H29" s="663" t="s">
        <v>907</v>
      </c>
      <c r="I29" s="665"/>
      <c r="J29" s="655"/>
      <c r="K29" s="663" t="s">
        <v>839</v>
      </c>
      <c r="L29" s="681" t="str">
        <f>Rope</f>
        <v>8x19 وارینگتون با مغز کنفی</v>
      </c>
    </row>
    <row r="30" spans="1:12" ht="12.75">
      <c r="A30" s="655"/>
      <c r="B30" s="655"/>
      <c r="C30" s="655"/>
      <c r="D30" s="655"/>
      <c r="E30" s="659" t="s">
        <v>838</v>
      </c>
      <c r="F30" s="671" t="str">
        <f>DT1.</f>
        <v>تلسکوپی 2 لنگه</v>
      </c>
      <c r="G30" s="655"/>
      <c r="H30" s="659" t="s">
        <v>908</v>
      </c>
      <c r="I30" s="660"/>
      <c r="J30" s="655"/>
      <c r="K30" s="659" t="s">
        <v>837</v>
      </c>
      <c r="L30" s="671">
        <f>msr*1000</f>
        <v>350</v>
      </c>
    </row>
    <row r="31" spans="1:12" ht="12.75">
      <c r="A31" s="655"/>
      <c r="B31" s="728" t="s">
        <v>836</v>
      </c>
      <c r="C31" s="729"/>
      <c r="D31" s="655"/>
      <c r="E31" s="663" t="s">
        <v>835</v>
      </c>
      <c r="F31" s="664">
        <f>DW1./10</f>
        <v>90</v>
      </c>
      <c r="G31" s="655"/>
      <c r="H31" s="663" t="s">
        <v>814</v>
      </c>
      <c r="I31" s="665"/>
      <c r="J31" s="655"/>
      <c r="K31" s="655"/>
      <c r="L31" s="655"/>
    </row>
    <row r="32" spans="1:12" ht="12.75">
      <c r="A32" s="655"/>
      <c r="B32" s="659" t="s">
        <v>834</v>
      </c>
      <c r="C32" s="660"/>
      <c r="D32" s="655"/>
      <c r="E32" s="659" t="s">
        <v>833</v>
      </c>
      <c r="F32" s="674"/>
      <c r="G32" s="655"/>
      <c r="H32" s="659" t="s">
        <v>832</v>
      </c>
      <c r="I32" s="660"/>
      <c r="J32" s="655"/>
      <c r="K32" s="655"/>
      <c r="L32" s="655"/>
    </row>
    <row r="33" spans="1:12" ht="12.75">
      <c r="A33" s="655"/>
      <c r="B33" s="663" t="s">
        <v>831</v>
      </c>
      <c r="C33" s="665"/>
      <c r="D33" s="655"/>
      <c r="E33" s="655"/>
      <c r="F33" s="655"/>
      <c r="G33" s="655"/>
      <c r="H33" s="655"/>
      <c r="I33" s="655"/>
      <c r="J33" s="655"/>
      <c r="K33" s="655"/>
      <c r="L33" s="655"/>
    </row>
    <row r="34" spans="1:12" ht="12.75">
      <c r="A34" s="655"/>
      <c r="B34" s="659" t="s">
        <v>830</v>
      </c>
      <c r="C34" s="660"/>
      <c r="D34" s="655"/>
      <c r="E34" s="722" t="s">
        <v>829</v>
      </c>
      <c r="F34" s="722"/>
      <c r="G34" s="722"/>
      <c r="H34" s="722"/>
      <c r="I34" s="722"/>
      <c r="J34" s="655"/>
      <c r="K34" s="655"/>
      <c r="L34" s="655"/>
    </row>
    <row r="35" spans="1:12" ht="12.75">
      <c r="A35" s="655"/>
      <c r="B35" s="663" t="s">
        <v>828</v>
      </c>
      <c r="C35" s="665"/>
      <c r="D35" s="655"/>
      <c r="E35" s="657" t="s">
        <v>827</v>
      </c>
      <c r="F35" s="730"/>
      <c r="G35" s="730"/>
      <c r="H35" s="730"/>
      <c r="I35" s="730"/>
      <c r="J35" s="655"/>
      <c r="K35" s="655"/>
      <c r="L35" s="655"/>
    </row>
    <row r="36" spans="1:12" ht="12.75">
      <c r="A36" s="655"/>
      <c r="B36" s="659" t="s">
        <v>826</v>
      </c>
      <c r="C36" s="660"/>
      <c r="D36" s="655"/>
      <c r="E36" s="661" t="s">
        <v>825</v>
      </c>
      <c r="F36" s="731"/>
      <c r="G36" s="731"/>
      <c r="H36" s="731"/>
      <c r="I36" s="731"/>
      <c r="J36" s="655"/>
      <c r="K36" s="655"/>
      <c r="L36" s="655"/>
    </row>
    <row r="37" spans="1:12" ht="12.75">
      <c r="A37" s="655"/>
      <c r="B37" s="663" t="s">
        <v>824</v>
      </c>
      <c r="C37" s="665"/>
      <c r="D37" s="655"/>
      <c r="E37" s="657" t="s">
        <v>823</v>
      </c>
      <c r="F37" s="730"/>
      <c r="G37" s="730"/>
      <c r="H37" s="730"/>
      <c r="I37" s="730"/>
      <c r="J37" s="655"/>
      <c r="K37" s="655"/>
      <c r="L37" s="655"/>
    </row>
    <row r="38" spans="1:12" ht="12.75">
      <c r="A38" s="655"/>
      <c r="B38" s="659" t="s">
        <v>910</v>
      </c>
      <c r="C38" s="660"/>
      <c r="D38" s="655"/>
      <c r="E38" s="675" t="s">
        <v>822</v>
      </c>
      <c r="F38" s="676" t="str">
        <f>'ورودی ها'!E40</f>
        <v>89-62-16</v>
      </c>
      <c r="G38" s="718" t="s">
        <v>821</v>
      </c>
      <c r="H38" s="718"/>
      <c r="I38" s="662"/>
      <c r="J38" s="655"/>
      <c r="K38" s="655"/>
      <c r="L38" s="655"/>
    </row>
    <row r="39" spans="1:12" ht="12.75">
      <c r="A39" s="655"/>
      <c r="B39" s="655"/>
      <c r="C39" s="655"/>
      <c r="D39" s="655"/>
      <c r="E39" s="657" t="s">
        <v>820</v>
      </c>
      <c r="F39" s="677"/>
      <c r="G39" s="719" t="s">
        <v>819</v>
      </c>
      <c r="H39" s="719"/>
      <c r="I39" s="678"/>
      <c r="J39" s="655"/>
      <c r="K39" s="655"/>
      <c r="L39" s="655"/>
    </row>
    <row r="40" spans="1:12" ht="12.75">
      <c r="A40" s="655"/>
      <c r="B40" s="724" t="s">
        <v>818</v>
      </c>
      <c r="C40" s="725"/>
      <c r="E40" s="716" t="s">
        <v>817</v>
      </c>
      <c r="F40" s="716"/>
      <c r="G40" s="717">
        <f>'ورودی ها'!D42/10</f>
        <v>180</v>
      </c>
      <c r="H40" s="717"/>
      <c r="I40" s="717"/>
      <c r="J40" s="655"/>
      <c r="K40" s="655"/>
      <c r="L40" s="655"/>
    </row>
    <row r="41" spans="1:12" ht="12.75">
      <c r="A41" s="655"/>
      <c r="B41" s="659" t="s">
        <v>815</v>
      </c>
      <c r="C41" s="660"/>
      <c r="D41" s="655"/>
      <c r="E41" s="655"/>
      <c r="F41" s="655"/>
      <c r="G41" s="655"/>
      <c r="H41" s="655"/>
      <c r="I41" s="655"/>
      <c r="J41" s="655"/>
      <c r="K41" s="655"/>
      <c r="L41" s="655"/>
    </row>
    <row r="42" spans="1:12" ht="12.75">
      <c r="A42" s="655"/>
      <c r="B42" s="663" t="s">
        <v>816</v>
      </c>
      <c r="C42" s="665"/>
      <c r="D42" s="655"/>
      <c r="E42" s="655"/>
      <c r="F42" s="655"/>
      <c r="G42" s="655"/>
      <c r="H42" s="655"/>
      <c r="I42" s="655"/>
      <c r="J42" s="655"/>
      <c r="K42" s="655"/>
      <c r="L42" s="655"/>
    </row>
    <row r="43" spans="1:12" ht="12.75">
      <c r="A43" s="655"/>
      <c r="B43" s="659" t="s">
        <v>815</v>
      </c>
      <c r="C43" s="660"/>
      <c r="D43" s="655"/>
      <c r="E43" s="655"/>
      <c r="F43" s="655"/>
      <c r="G43" s="655"/>
      <c r="H43" s="655"/>
      <c r="I43" s="655"/>
      <c r="J43" s="655"/>
      <c r="K43" s="655"/>
      <c r="L43" s="655"/>
    </row>
    <row r="44" spans="1:12" ht="12.75">
      <c r="B44" s="663" t="s">
        <v>814</v>
      </c>
      <c r="C44" s="665"/>
    </row>
    <row r="45" spans="1:12" ht="12.75">
      <c r="B45" s="659" t="s">
        <v>813</v>
      </c>
      <c r="C45" s="660"/>
    </row>
    <row r="46" spans="1:12" ht="22.5" customHeight="1">
      <c r="B46" s="655"/>
      <c r="C46" s="655"/>
    </row>
    <row r="47" spans="1:12" ht="22.5" customHeight="1">
      <c r="B47" s="655"/>
      <c r="C47" s="655"/>
    </row>
    <row r="48" spans="1:12" ht="22.5" customHeight="1">
      <c r="B48" s="655"/>
      <c r="C48" s="655"/>
    </row>
    <row r="49" spans="2:3" ht="22.5" customHeight="1">
      <c r="B49" s="655"/>
      <c r="C49" s="655"/>
    </row>
  </sheetData>
  <sheetProtection algorithmName="SHA-512" hashValue="TMVU00rN+UwKjErdEgc4Cs8jnwyhwveFbDo4huPYDkusux+bBl7PMAdEdWgS83Hu4X0y/0S+caq9aCk5qjmGIg==" saltValue="NalGAi1ghdh8dXehK8/WGQ==" spinCount="100000" sheet="1" objects="1" scenarios="1" selectLockedCells="1"/>
  <mergeCells count="27">
    <mergeCell ref="K2:L2"/>
    <mergeCell ref="H16:I16"/>
    <mergeCell ref="K9:L9"/>
    <mergeCell ref="K25:L25"/>
    <mergeCell ref="E10:F10"/>
    <mergeCell ref="E16:F16"/>
    <mergeCell ref="B2:C2"/>
    <mergeCell ref="E2:F2"/>
    <mergeCell ref="B40:C40"/>
    <mergeCell ref="H25:I25"/>
    <mergeCell ref="H9:I9"/>
    <mergeCell ref="H10:I10"/>
    <mergeCell ref="H2:I2"/>
    <mergeCell ref="B31:C31"/>
    <mergeCell ref="E9:F9"/>
    <mergeCell ref="E34:I34"/>
    <mergeCell ref="F35:I35"/>
    <mergeCell ref="F36:I36"/>
    <mergeCell ref="F37:I37"/>
    <mergeCell ref="E25:F25"/>
    <mergeCell ref="B9:C9"/>
    <mergeCell ref="B10:C10"/>
    <mergeCell ref="E40:F40"/>
    <mergeCell ref="G40:I40"/>
    <mergeCell ref="G38:H38"/>
    <mergeCell ref="G39:H39"/>
    <mergeCell ref="B22:C22"/>
  </mergeCells>
  <dataValidations count="4">
    <dataValidation type="list" allowBlank="1" showInputMessage="1" showErrorMessage="1" sqref="I4">
      <formula1>"رله ای,الکترونیک دیجیتالی,میکروپروسسور"</formula1>
    </dataValidation>
    <dataValidation type="list" allowBlank="1" showInputMessage="1" showErrorMessage="1" sqref="I3">
      <formula1>"پوش باتن,کلکتیوداون,کلکتیوسلکتیو"</formula1>
    </dataValidation>
    <dataValidation type="list" allowBlank="1" showInputMessage="1" showErrorMessage="1" sqref="C15">
      <formula1>"دارد,ندارد"</formula1>
    </dataValidation>
    <dataValidation type="list" allowBlank="1" showInputMessage="1" showErrorMessage="1" sqref="C14">
      <formula1>"V,U"</formula1>
    </dataValidation>
  </dataValidations>
  <pageMargins left="0.7" right="0.7" top="0.75" bottom="0.75" header="0.3" footer="0.3"/>
  <pageSetup orientation="portrait" r:id="rId1"/>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RailCalc">
    <tabColor rgb="FFA3FFA3"/>
    <pageSetUpPr autoPageBreaks="0"/>
  </sheetPr>
  <dimension ref="A1:E129"/>
  <sheetViews>
    <sheetView showRowColHeaders="0" rightToLeft="1" view="pageBreakPreview" topLeftCell="A55" zoomScale="110" zoomScaleNormal="100" zoomScaleSheetLayoutView="110" zoomScalePageLayoutView="140" workbookViewId="0">
      <selection activeCell="C28" sqref="C28"/>
    </sheetView>
  </sheetViews>
  <sheetFormatPr defaultColWidth="8.69921875" defaultRowHeight="21" customHeight="1"/>
  <cols>
    <col min="1" max="1" width="38.69921875" style="8" customWidth="1"/>
    <col min="2" max="2" width="7.69921875" style="1" customWidth="1"/>
    <col min="3" max="3" width="10.69921875" style="158" bestFit="1" customWidth="1"/>
    <col min="4" max="4" width="42.69921875" style="144" customWidth="1"/>
    <col min="5" max="5" width="9.3984375" style="1" customWidth="1"/>
    <col min="6" max="16384" width="8.69921875" style="1"/>
  </cols>
  <sheetData>
    <row r="1" spans="1:4" ht="24" customHeight="1" thickBot="1">
      <c r="A1" s="735" t="s">
        <v>610</v>
      </c>
      <c r="B1" s="736"/>
      <c r="C1" s="736"/>
      <c r="D1" s="737"/>
    </row>
    <row r="2" spans="1:4" ht="18.75" customHeight="1" thickBot="1">
      <c r="A2" s="92" t="s">
        <v>1</v>
      </c>
      <c r="B2" s="93" t="s">
        <v>2</v>
      </c>
      <c r="C2" s="157" t="s">
        <v>3</v>
      </c>
      <c r="D2" s="150" t="s">
        <v>4</v>
      </c>
    </row>
    <row r="3" spans="1:4" ht="17.649999999999999" customHeight="1">
      <c r="A3" s="98" t="s">
        <v>61</v>
      </c>
      <c r="B3" s="97"/>
      <c r="C3" s="97"/>
      <c r="D3" s="129"/>
    </row>
    <row r="4" spans="1:4" ht="17.649999999999999" customHeight="1">
      <c r="A4" s="17" t="s">
        <v>407</v>
      </c>
      <c r="B4" s="179" t="s">
        <v>24</v>
      </c>
      <c r="C4" s="400">
        <f>P</f>
        <v>800</v>
      </c>
      <c r="D4" s="401" t="s">
        <v>25</v>
      </c>
    </row>
    <row r="5" spans="1:4" ht="17.649999999999999" customHeight="1">
      <c r="A5" s="17" t="s">
        <v>62</v>
      </c>
      <c r="B5" s="179" t="s">
        <v>24</v>
      </c>
      <c r="C5" s="400">
        <f>Q</f>
        <v>800</v>
      </c>
      <c r="D5" s="401" t="s">
        <v>26</v>
      </c>
    </row>
    <row r="6" spans="1:4" ht="17.649999999999999" customHeight="1">
      <c r="A6" s="17" t="s">
        <v>27</v>
      </c>
      <c r="B6" s="179" t="s">
        <v>19</v>
      </c>
      <c r="C6" s="400">
        <f>DX</f>
        <v>1350</v>
      </c>
      <c r="D6" s="401" t="s">
        <v>240</v>
      </c>
    </row>
    <row r="7" spans="1:4" ht="17.649999999999999" customHeight="1">
      <c r="A7" s="17" t="s">
        <v>28</v>
      </c>
      <c r="B7" s="179" t="s">
        <v>19</v>
      </c>
      <c r="C7" s="400">
        <f>DY</f>
        <v>1400</v>
      </c>
      <c r="D7" s="401" t="s">
        <v>241</v>
      </c>
    </row>
    <row r="8" spans="1:4" ht="17.649999999999999" customHeight="1">
      <c r="A8" s="17" t="s">
        <v>29</v>
      </c>
      <c r="B8" s="179" t="s">
        <v>19</v>
      </c>
      <c r="C8" s="400">
        <f>L</f>
        <v>1800</v>
      </c>
      <c r="D8" s="401" t="s">
        <v>30</v>
      </c>
    </row>
    <row r="9" spans="1:4" ht="17.649999999999999" customHeight="1">
      <c r="A9" s="17" t="s">
        <v>31</v>
      </c>
      <c r="B9" s="179" t="s">
        <v>19</v>
      </c>
      <c r="C9" s="400">
        <f>h</f>
        <v>3200</v>
      </c>
      <c r="D9" s="401" t="s">
        <v>32</v>
      </c>
    </row>
    <row r="10" spans="1:4" ht="17.649999999999999" customHeight="1">
      <c r="A10" s="17" t="s">
        <v>33</v>
      </c>
      <c r="B10" s="179" t="s">
        <v>601</v>
      </c>
      <c r="C10" s="400">
        <f>n</f>
        <v>2</v>
      </c>
      <c r="D10" s="401" t="s">
        <v>34</v>
      </c>
    </row>
    <row r="11" spans="1:4" ht="17.649999999999999" customHeight="1">
      <c r="A11" s="17" t="s">
        <v>805</v>
      </c>
      <c r="B11" s="179" t="s">
        <v>37</v>
      </c>
      <c r="C11" s="400">
        <f>Maux</f>
        <v>0</v>
      </c>
      <c r="D11" s="401" t="s">
        <v>917</v>
      </c>
    </row>
    <row r="12" spans="1:4" ht="17.649999999999999" customHeight="1">
      <c r="A12" s="17" t="s">
        <v>38</v>
      </c>
      <c r="B12" s="179" t="s">
        <v>19</v>
      </c>
      <c r="C12" s="400">
        <f>XC</f>
        <v>-50</v>
      </c>
      <c r="D12" s="401" t="s">
        <v>242</v>
      </c>
    </row>
    <row r="13" spans="1:4" ht="17.649999999999999" customHeight="1">
      <c r="A13" s="17" t="s">
        <v>39</v>
      </c>
      <c r="B13" s="179" t="s">
        <v>19</v>
      </c>
      <c r="C13" s="400">
        <f>YC</f>
        <v>0</v>
      </c>
      <c r="D13" s="401" t="s">
        <v>243</v>
      </c>
    </row>
    <row r="14" spans="1:4" ht="17.649999999999999" customHeight="1">
      <c r="A14" s="17" t="s">
        <v>40</v>
      </c>
      <c r="B14" s="179" t="s">
        <v>19</v>
      </c>
      <c r="C14" s="400">
        <f>XP</f>
        <v>40</v>
      </c>
      <c r="D14" s="401" t="s">
        <v>244</v>
      </c>
    </row>
    <row r="15" spans="1:4" ht="17.649999999999999" customHeight="1">
      <c r="A15" s="17" t="s">
        <v>41</v>
      </c>
      <c r="B15" s="179" t="s">
        <v>19</v>
      </c>
      <c r="C15" s="400">
        <f>YP</f>
        <v>40</v>
      </c>
      <c r="D15" s="401" t="s">
        <v>245</v>
      </c>
    </row>
    <row r="16" spans="1:4" ht="17.649999999999999" customHeight="1">
      <c r="A16" s="17" t="s">
        <v>42</v>
      </c>
      <c r="B16" s="179" t="s">
        <v>19</v>
      </c>
      <c r="C16" s="400">
        <f>XS</f>
        <v>0</v>
      </c>
      <c r="D16" s="401" t="s">
        <v>246</v>
      </c>
    </row>
    <row r="17" spans="1:4" ht="18.75">
      <c r="A17" s="17" t="s">
        <v>236</v>
      </c>
      <c r="B17" s="179" t="s">
        <v>19</v>
      </c>
      <c r="C17" s="400">
        <f>YS</f>
        <v>0</v>
      </c>
      <c r="D17" s="401" t="s">
        <v>247</v>
      </c>
    </row>
    <row r="18" spans="1:4" ht="18.75">
      <c r="A18" s="17" t="s">
        <v>43</v>
      </c>
      <c r="B18" s="179" t="s">
        <v>19</v>
      </c>
      <c r="C18" s="402">
        <f>Xi</f>
        <v>1145</v>
      </c>
      <c r="D18" s="401" t="s">
        <v>248</v>
      </c>
    </row>
    <row r="19" spans="1:4" ht="18.75">
      <c r="A19" s="17" t="s">
        <v>44</v>
      </c>
      <c r="B19" s="179" t="s">
        <v>19</v>
      </c>
      <c r="C19" s="402">
        <f>Yi</f>
        <v>50</v>
      </c>
      <c r="D19" s="401" t="s">
        <v>249</v>
      </c>
    </row>
    <row r="20" spans="1:4" ht="18.75">
      <c r="A20" s="17" t="s">
        <v>700</v>
      </c>
      <c r="B20" s="179" t="s">
        <v>63</v>
      </c>
      <c r="C20" s="403">
        <f>IF(Safety_gear_Type="تدریجی", 2,IF(Safety_gear_Type="غلطکی",3,5))</f>
        <v>2</v>
      </c>
      <c r="D20" s="401" t="s">
        <v>250</v>
      </c>
    </row>
    <row r="21" spans="1:4" ht="18.75">
      <c r="A21" s="17" t="s">
        <v>64</v>
      </c>
      <c r="B21" s="179" t="s">
        <v>63</v>
      </c>
      <c r="C21" s="403">
        <v>1.2</v>
      </c>
      <c r="D21" s="401" t="s">
        <v>251</v>
      </c>
    </row>
    <row r="22" spans="1:4" ht="18.75">
      <c r="A22" s="17" t="s">
        <v>65</v>
      </c>
      <c r="B22" s="179" t="s">
        <v>63</v>
      </c>
      <c r="C22" s="403">
        <v>2</v>
      </c>
      <c r="D22" s="401" t="s">
        <v>252</v>
      </c>
    </row>
    <row r="23" spans="1:4" ht="17.25">
      <c r="A23" s="17" t="s">
        <v>66</v>
      </c>
      <c r="B23" s="179" t="s">
        <v>323</v>
      </c>
      <c r="C23" s="400">
        <v>210000</v>
      </c>
      <c r="D23" s="401" t="s">
        <v>202</v>
      </c>
    </row>
    <row r="24" spans="1:4" ht="18.75">
      <c r="A24" s="17" t="s">
        <v>67</v>
      </c>
      <c r="B24" s="179" t="s">
        <v>68</v>
      </c>
      <c r="C24" s="400">
        <f>IF(Q&lt;2500,0.4*gn*Q,IF(Lift_Type="مسافری",0.6*gn*Q,0.85*gn*Q))</f>
        <v>3139.2000000000003</v>
      </c>
      <c r="D24" s="401" t="s">
        <v>253</v>
      </c>
    </row>
    <row r="25" spans="1:4" ht="18.75">
      <c r="A25" s="17" t="s">
        <v>69</v>
      </c>
      <c r="B25" s="179" t="s">
        <v>324</v>
      </c>
      <c r="C25" s="402">
        <f>gn</f>
        <v>9.81</v>
      </c>
      <c r="D25" s="401" t="s">
        <v>254</v>
      </c>
    </row>
    <row r="26" spans="1:4" ht="17.25">
      <c r="A26" s="17" t="s">
        <v>70</v>
      </c>
      <c r="B26" s="179" t="s">
        <v>19</v>
      </c>
      <c r="C26" s="402" t="str">
        <f>INDEX(Guide_Rail_Table,Guide_Rail_Type,2)</f>
        <v>89-62-16</v>
      </c>
      <c r="D26" s="404" t="str">
        <f>INDEX(Guide_Rail_Table,Guide_Rail_Type,1)</f>
        <v>T89/A-B</v>
      </c>
    </row>
    <row r="27" spans="1:4" ht="17.25">
      <c r="A27" s="17" t="s">
        <v>184</v>
      </c>
      <c r="B27" s="179" t="s">
        <v>325</v>
      </c>
      <c r="C27" s="400">
        <f>INDEX(Guide_Rail_Table,Guide_Rail_Type,3)*100</f>
        <v>1570</v>
      </c>
      <c r="D27" s="401" t="s">
        <v>203</v>
      </c>
    </row>
    <row r="28" spans="1:4" ht="18.75">
      <c r="A28" s="17" t="s">
        <v>183</v>
      </c>
      <c r="B28" s="179" t="s">
        <v>119</v>
      </c>
      <c r="C28" s="402">
        <f>INDEX(Guide_Rail_Table,Guide_Rail_Type,4)</f>
        <v>12.3</v>
      </c>
      <c r="D28" s="401" t="s">
        <v>920</v>
      </c>
    </row>
    <row r="29" spans="1:4" ht="17.25">
      <c r="A29" s="17" t="s">
        <v>71</v>
      </c>
      <c r="B29" s="179" t="s">
        <v>19</v>
      </c>
      <c r="C29" s="402">
        <f>INDEX(Guide_Rail_Table,Guide_Rail_Type,5)</f>
        <v>10</v>
      </c>
      <c r="D29" s="401" t="s">
        <v>205</v>
      </c>
    </row>
    <row r="30" spans="1:4" ht="18.75">
      <c r="A30" s="17" t="s">
        <v>72</v>
      </c>
      <c r="B30" s="179" t="s">
        <v>326</v>
      </c>
      <c r="C30" s="400">
        <f>INDEX(Guide_Rail_Table,Guide_Rail_Type,6)*10000</f>
        <v>595200</v>
      </c>
      <c r="D30" s="401" t="s">
        <v>255</v>
      </c>
    </row>
    <row r="31" spans="1:4" ht="18.75">
      <c r="A31" s="17" t="s">
        <v>72</v>
      </c>
      <c r="B31" s="179" t="s">
        <v>326</v>
      </c>
      <c r="C31" s="400">
        <f>INDEX(Guide_Rail_Table,Guide_Rail_Type,9)*10000</f>
        <v>524000</v>
      </c>
      <c r="D31" s="401" t="s">
        <v>256</v>
      </c>
    </row>
    <row r="32" spans="1:4" ht="18.75">
      <c r="A32" s="17" t="s">
        <v>73</v>
      </c>
      <c r="B32" s="179" t="s">
        <v>327</v>
      </c>
      <c r="C32" s="400">
        <f>INDEX(Guide_Rail_Table,Guide_Rail_Type,7)*1000</f>
        <v>14250</v>
      </c>
      <c r="D32" s="401" t="s">
        <v>257</v>
      </c>
    </row>
    <row r="33" spans="1:5" ht="18.75">
      <c r="A33" s="17" t="s">
        <v>73</v>
      </c>
      <c r="B33" s="179" t="s">
        <v>327</v>
      </c>
      <c r="C33" s="400">
        <f>INDEX(Guide_Rail_Table,Guide_Rail_Type,10)*1000</f>
        <v>11800</v>
      </c>
      <c r="D33" s="401" t="s">
        <v>258</v>
      </c>
    </row>
    <row r="34" spans="1:5" ht="17.25">
      <c r="A34" s="17" t="s">
        <v>74</v>
      </c>
      <c r="B34" s="179" t="s">
        <v>19</v>
      </c>
      <c r="C34" s="403">
        <f>INDEX(Guide_Rail_Table,Guide_Rail_Type,12)*10</f>
        <v>18.3</v>
      </c>
      <c r="D34" s="401" t="s">
        <v>206</v>
      </c>
    </row>
    <row r="35" spans="1:5" ht="17.25">
      <c r="A35" s="17" t="s">
        <v>75</v>
      </c>
      <c r="B35" s="179" t="s">
        <v>63</v>
      </c>
      <c r="C35" s="403">
        <f>L/i</f>
        <v>98.360655737704917</v>
      </c>
      <c r="D35" s="401" t="s">
        <v>211</v>
      </c>
    </row>
    <row r="36" spans="1:5" ht="18" thickBot="1">
      <c r="A36" s="405" t="s">
        <v>76</v>
      </c>
      <c r="B36" s="180" t="s">
        <v>63</v>
      </c>
      <c r="C36" s="406">
        <f>VLOOKUP(λ,Omega!$A$3:$L$25,2+INT(λ-INT(λ/10)*10))+(VLOOKUP(INT(λ)+1,Omega!$A$3:$L$25,2+INT(λ+1-INT((λ+1)/10)*10))-VLOOKUP(λ,Omega!$A$3:$L$25,2+INT(λ-INT(λ/10)*10)))*(λ-INT(λ))</f>
        <v>1.8672131147540985</v>
      </c>
      <c r="D36" s="407" t="s">
        <v>322</v>
      </c>
      <c r="E36" s="13"/>
    </row>
    <row r="37" spans="1:5" ht="7.5" customHeight="1" thickBot="1">
      <c r="A37" s="4"/>
      <c r="C37" s="159"/>
      <c r="E37" s="13"/>
    </row>
    <row r="38" spans="1:5" ht="15">
      <c r="A38" s="738" t="s">
        <v>185</v>
      </c>
      <c r="B38" s="739"/>
      <c r="C38" s="739"/>
      <c r="D38" s="740"/>
    </row>
    <row r="39" spans="1:5" ht="17.25">
      <c r="A39" s="14" t="s">
        <v>77</v>
      </c>
      <c r="C39" s="408"/>
      <c r="D39" s="151"/>
    </row>
    <row r="40" spans="1:5" ht="18.75">
      <c r="A40" s="4" t="s">
        <v>78</v>
      </c>
      <c r="B40" s="1" t="s">
        <v>37</v>
      </c>
      <c r="C40" s="409">
        <f>K1.*gn*(Q+P)/n</f>
        <v>15696</v>
      </c>
      <c r="D40" s="151" t="s">
        <v>259</v>
      </c>
    </row>
    <row r="41" spans="1:5" ht="18.75">
      <c r="A41" s="131" t="s">
        <v>79</v>
      </c>
      <c r="B41" s="132" t="s">
        <v>323</v>
      </c>
      <c r="C41" s="410">
        <f>(Fk+(K3.*Maux))*ω/A</f>
        <v>18.667373916675366</v>
      </c>
      <c r="D41" s="153" t="s">
        <v>911</v>
      </c>
      <c r="E41" s="15"/>
    </row>
    <row r="42" spans="1:5" ht="17.25">
      <c r="A42" s="14" t="s">
        <v>80</v>
      </c>
      <c r="C42" s="408"/>
      <c r="D42" s="151"/>
    </row>
    <row r="43" spans="1:5" ht="17.25">
      <c r="A43" s="4" t="s">
        <v>81</v>
      </c>
      <c r="C43" s="408"/>
      <c r="D43" s="151"/>
    </row>
    <row r="44" spans="1:5" ht="18.75">
      <c r="A44" s="4" t="s">
        <v>132</v>
      </c>
      <c r="B44" s="1" t="s">
        <v>37</v>
      </c>
      <c r="C44" s="408">
        <f>IF(E44&gt;E45,E44,E45)</f>
        <v>438.38437499999998</v>
      </c>
      <c r="D44" s="151" t="s">
        <v>667</v>
      </c>
      <c r="E44" s="408">
        <f>K1.*gn*ABS(Q*(XC+DX/8)+P*XP)/(n*h)</f>
        <v>389.33437500000002</v>
      </c>
    </row>
    <row r="45" spans="1:5" ht="18.75">
      <c r="A45" s="4"/>
      <c r="B45" s="1" t="s">
        <v>82</v>
      </c>
      <c r="C45" s="411">
        <f>3*C44*L/16</f>
        <v>147954.72656249997</v>
      </c>
      <c r="D45" s="151" t="s">
        <v>260</v>
      </c>
      <c r="E45" s="408">
        <f>K1.*gn*ABS(Q*(XC-DX/8)+P*XP)/(n*h)</f>
        <v>438.38437499999998</v>
      </c>
    </row>
    <row r="46" spans="1:5" ht="18.75">
      <c r="A46" s="4"/>
      <c r="B46" s="1" t="s">
        <v>323</v>
      </c>
      <c r="C46" s="408">
        <f>C45/Wy</f>
        <v>12.538536149364404</v>
      </c>
      <c r="D46" s="151" t="s">
        <v>261</v>
      </c>
    </row>
    <row r="47" spans="1:5" ht="18.75">
      <c r="A47" s="160"/>
      <c r="B47" s="1" t="s">
        <v>37</v>
      </c>
      <c r="C47" s="408">
        <f>K1.*gn*ABS(Q*YC+P*YP)/(n/2*h)</f>
        <v>196.2</v>
      </c>
      <c r="D47" s="151" t="s">
        <v>666</v>
      </c>
      <c r="E47" s="408"/>
    </row>
    <row r="48" spans="1:5" ht="18.75">
      <c r="A48" s="4"/>
      <c r="B48" s="1" t="s">
        <v>82</v>
      </c>
      <c r="C48" s="411">
        <f>3*C47*L/16</f>
        <v>66217.499999999985</v>
      </c>
      <c r="D48" s="151" t="s">
        <v>262</v>
      </c>
      <c r="E48" s="408"/>
    </row>
    <row r="49" spans="1:4" ht="18.75">
      <c r="A49" s="4"/>
      <c r="B49" s="1" t="s">
        <v>323</v>
      </c>
      <c r="C49" s="408">
        <f>C48/Wx</f>
        <v>4.6468421052631568</v>
      </c>
      <c r="D49" s="151" t="s">
        <v>263</v>
      </c>
    </row>
    <row r="50" spans="1:4" ht="17.25">
      <c r="A50" s="4" t="s">
        <v>83</v>
      </c>
      <c r="C50" s="408"/>
      <c r="D50" s="151"/>
    </row>
    <row r="51" spans="1:4" ht="18.75">
      <c r="A51" s="256">
        <f>205-C51</f>
        <v>187.81462174537245</v>
      </c>
      <c r="B51" s="1" t="s">
        <v>323</v>
      </c>
      <c r="C51" s="408">
        <f>C49+C46</f>
        <v>17.185378254627562</v>
      </c>
      <c r="D51" s="151" t="s">
        <v>264</v>
      </c>
    </row>
    <row r="52" spans="1:4" ht="18.75">
      <c r="A52" s="256">
        <f>205-C52</f>
        <v>177.81716951607308</v>
      </c>
      <c r="B52" s="1" t="s">
        <v>323</v>
      </c>
      <c r="C52" s="408">
        <f>C51+(Fk+(K3.*Maux))/A</f>
        <v>27.182830483926924</v>
      </c>
      <c r="D52" s="151" t="s">
        <v>918</v>
      </c>
    </row>
    <row r="53" spans="1:4" ht="18.75">
      <c r="A53" s="256">
        <f>205-C53</f>
        <v>170.86578565415982</v>
      </c>
      <c r="B53" s="1" t="s">
        <v>323</v>
      </c>
      <c r="C53" s="408">
        <f>(C51*0.9)+σk</f>
        <v>34.134214345840171</v>
      </c>
      <c r="D53" s="151" t="s">
        <v>265</v>
      </c>
    </row>
    <row r="54" spans="1:4" ht="17.25">
      <c r="A54" s="4" t="s">
        <v>84</v>
      </c>
      <c r="C54" s="408"/>
      <c r="D54" s="151"/>
    </row>
    <row r="55" spans="1:4" ht="18.75">
      <c r="A55" s="256">
        <f>205-C55</f>
        <v>196.8898890625</v>
      </c>
      <c r="B55" s="1" t="s">
        <v>323</v>
      </c>
      <c r="C55" s="408">
        <f>1.85*C44/c.^2</f>
        <v>8.1101109375</v>
      </c>
      <c r="D55" s="151" t="s">
        <v>266</v>
      </c>
    </row>
    <row r="56" spans="1:4" ht="17.25">
      <c r="A56" s="4" t="s">
        <v>85</v>
      </c>
      <c r="C56" s="408"/>
      <c r="D56" s="151"/>
    </row>
    <row r="57" spans="1:4" ht="18.75">
      <c r="A57" s="47">
        <f>5-C57</f>
        <v>4.6611723819179387</v>
      </c>
      <c r="B57" s="1" t="s">
        <v>19</v>
      </c>
      <c r="C57" s="408">
        <f>0.7*C44*L^3/(48*E*Iy)</f>
        <v>0.33882761808206108</v>
      </c>
      <c r="D57" s="151" t="s">
        <v>267</v>
      </c>
    </row>
    <row r="58" spans="1:4" ht="18.75">
      <c r="A58" s="47">
        <f>5-C58</f>
        <v>4.8664969758064514</v>
      </c>
      <c r="B58" s="1" t="s">
        <v>19</v>
      </c>
      <c r="C58" s="412">
        <f>0.7*C47*L^3/(48*E*Ix)</f>
        <v>0.13350302419354837</v>
      </c>
      <c r="D58" s="151" t="s">
        <v>268</v>
      </c>
    </row>
    <row r="59" spans="1:4" ht="8.25" customHeight="1">
      <c r="A59" s="16"/>
      <c r="C59" s="412"/>
      <c r="D59" s="151"/>
    </row>
    <row r="60" spans="1:4" ht="17.25">
      <c r="A60" s="95" t="s">
        <v>86</v>
      </c>
      <c r="B60" s="96"/>
      <c r="C60" s="413"/>
      <c r="D60" s="154" t="s">
        <v>132</v>
      </c>
    </row>
    <row r="61" spans="1:4" ht="17.25">
      <c r="A61" s="4" t="s">
        <v>81</v>
      </c>
      <c r="C61" s="408"/>
      <c r="D61" s="151"/>
    </row>
    <row r="62" spans="1:4" ht="18.75">
      <c r="A62" s="4"/>
      <c r="B62" s="1" t="s">
        <v>37</v>
      </c>
      <c r="C62" s="408">
        <f>K1.*gn*ABS(Q*XC+P*XP)/(n*h)</f>
        <v>24.524999999999999</v>
      </c>
      <c r="D62" s="151" t="s">
        <v>665</v>
      </c>
    </row>
    <row r="63" spans="1:4" ht="18.75">
      <c r="A63" s="4"/>
      <c r="B63" s="1" t="s">
        <v>82</v>
      </c>
      <c r="C63" s="411">
        <f>3*C62*L/16</f>
        <v>8277.1874999999982</v>
      </c>
      <c r="D63" s="151" t="s">
        <v>260</v>
      </c>
    </row>
    <row r="64" spans="1:4" ht="18.75">
      <c r="A64" s="4"/>
      <c r="B64" s="1" t="s">
        <v>323</v>
      </c>
      <c r="C64" s="408">
        <f>C63/Wy</f>
        <v>0.70145656779661003</v>
      </c>
      <c r="D64" s="151" t="s">
        <v>261</v>
      </c>
    </row>
    <row r="65" spans="1:5" ht="18.75">
      <c r="A65" s="4"/>
      <c r="B65" s="1" t="s">
        <v>37</v>
      </c>
      <c r="C65" s="408">
        <f>IF(E65&gt;E66,E65,E66)</f>
        <v>1054.575</v>
      </c>
      <c r="D65" s="151" t="s">
        <v>668</v>
      </c>
      <c r="E65" s="408">
        <f>K1.*gn*ABS(Q*(YC+DY/8)+P*YP)/(n/2*h)</f>
        <v>1054.575</v>
      </c>
    </row>
    <row r="66" spans="1:5" ht="18.75">
      <c r="A66" s="4"/>
      <c r="B66" s="1" t="s">
        <v>82</v>
      </c>
      <c r="C66" s="411">
        <f>3*C65*L/16</f>
        <v>355919.06250000006</v>
      </c>
      <c r="D66" s="151" t="s">
        <v>262</v>
      </c>
      <c r="E66" s="408">
        <f>K1.*gn*ABS(Q*(YC-DY/8)+P*YP)/(n/2*h)</f>
        <v>662.17499999999995</v>
      </c>
    </row>
    <row r="67" spans="1:5" ht="18.75">
      <c r="A67" s="4"/>
      <c r="B67" s="1" t="s">
        <v>323</v>
      </c>
      <c r="C67" s="408">
        <f>C66/Wx</f>
        <v>24.976776315789479</v>
      </c>
      <c r="D67" s="151" t="s">
        <v>263</v>
      </c>
    </row>
    <row r="68" spans="1:5" ht="17.25">
      <c r="A68" s="4" t="s">
        <v>83</v>
      </c>
      <c r="C68" s="408"/>
      <c r="D68" s="151"/>
    </row>
    <row r="69" spans="1:5" ht="18.75">
      <c r="A69" s="256">
        <f>205-C69</f>
        <v>179.32176711641392</v>
      </c>
      <c r="B69" s="1" t="s">
        <v>323</v>
      </c>
      <c r="C69" s="408">
        <f>C67+C64</f>
        <v>25.678232883586091</v>
      </c>
      <c r="D69" s="151" t="s">
        <v>264</v>
      </c>
    </row>
    <row r="70" spans="1:5" ht="18.75">
      <c r="A70" s="256">
        <f>205-C70</f>
        <v>169.32431488711455</v>
      </c>
      <c r="B70" s="1" t="s">
        <v>323</v>
      </c>
      <c r="C70" s="408">
        <f>C69+(Fk+(K3.*Maux))/A</f>
        <v>35.675685112885454</v>
      </c>
      <c r="D70" s="151" t="s">
        <v>918</v>
      </c>
    </row>
    <row r="71" spans="1:5" ht="18.75">
      <c r="A71" s="256">
        <f>205-C71</f>
        <v>163.22221648809716</v>
      </c>
      <c r="B71" s="1" t="s">
        <v>323</v>
      </c>
      <c r="C71" s="408">
        <f>(C69*0.9)+σk</f>
        <v>41.777783511902854</v>
      </c>
      <c r="D71" s="151" t="s">
        <v>269</v>
      </c>
    </row>
    <row r="72" spans="1:5" ht="17.25">
      <c r="A72" s="4" t="s">
        <v>84</v>
      </c>
      <c r="C72" s="408"/>
      <c r="D72" s="151"/>
    </row>
    <row r="73" spans="1:5" ht="18.75">
      <c r="A73" s="256">
        <f>205-C73</f>
        <v>204.54628750000001</v>
      </c>
      <c r="B73" s="1" t="s">
        <v>323</v>
      </c>
      <c r="C73" s="408">
        <f>1.85*C62/c.^2</f>
        <v>0.45371249999999996</v>
      </c>
      <c r="D73" s="151" t="s">
        <v>266</v>
      </c>
    </row>
    <row r="74" spans="1:5" ht="17.25">
      <c r="A74" s="4" t="s">
        <v>85</v>
      </c>
      <c r="C74" s="408"/>
      <c r="D74" s="151"/>
    </row>
    <row r="75" spans="1:5" ht="18.75">
      <c r="A75" s="47">
        <f>5-C75</f>
        <v>4.9810446087786255</v>
      </c>
      <c r="B75" s="1" t="s">
        <v>19</v>
      </c>
      <c r="C75" s="408">
        <f>0.7*C62*L^3/(48*E*Iy)</f>
        <v>1.8955391221374043E-2</v>
      </c>
      <c r="D75" s="151" t="s">
        <v>267</v>
      </c>
    </row>
    <row r="76" spans="1:5" ht="19.5" thickBot="1">
      <c r="A76" s="94">
        <f>5-C76</f>
        <v>4.2824212449596777</v>
      </c>
      <c r="B76" s="7" t="s">
        <v>19</v>
      </c>
      <c r="C76" s="414">
        <f>0.7*C65*L^3/(48*E*Ix)</f>
        <v>0.71757875504032254</v>
      </c>
      <c r="D76" s="152" t="s">
        <v>268</v>
      </c>
    </row>
    <row r="77" spans="1:5" ht="6.75" customHeight="1" thickBot="1">
      <c r="A77" s="17"/>
      <c r="C77" s="161"/>
    </row>
    <row r="78" spans="1:5" ht="15">
      <c r="A78" s="738" t="s">
        <v>186</v>
      </c>
      <c r="B78" s="739"/>
      <c r="C78" s="739"/>
      <c r="D78" s="740"/>
    </row>
    <row r="79" spans="1:5" ht="17.25">
      <c r="A79" s="14" t="s">
        <v>80</v>
      </c>
      <c r="C79" s="408"/>
      <c r="D79" s="151"/>
    </row>
    <row r="80" spans="1:5" ht="17.25">
      <c r="A80" s="4" t="s">
        <v>81</v>
      </c>
      <c r="C80" s="408"/>
      <c r="D80" s="155"/>
    </row>
    <row r="81" spans="1:5" ht="18.75">
      <c r="A81" s="4"/>
      <c r="B81" s="1" t="s">
        <v>37</v>
      </c>
      <c r="C81" s="408">
        <f>IF(E81&gt;E82,E81,E82)</f>
        <v>263.03062499999999</v>
      </c>
      <c r="D81" s="155" t="s">
        <v>669</v>
      </c>
      <c r="E81" s="408">
        <f>K2.*gn*ABS(Q*(XC+DX/8-XS)+P*(XP-XS))/(n*h)</f>
        <v>233.60062500000001</v>
      </c>
    </row>
    <row r="82" spans="1:5" ht="18.75">
      <c r="A82" s="4"/>
      <c r="B82" s="1" t="s">
        <v>82</v>
      </c>
      <c r="C82" s="411">
        <f>3*C81*L/16</f>
        <v>88772.8359375</v>
      </c>
      <c r="D82" s="151" t="s">
        <v>260</v>
      </c>
      <c r="E82" s="408">
        <f>K2.*gn*ABS(Q*(XC-DX/8-XS)+P*(XP-XS))/(n*h)</f>
        <v>263.03062499999999</v>
      </c>
    </row>
    <row r="83" spans="1:5" ht="18.75">
      <c r="A83" s="4"/>
      <c r="B83" s="1" t="s">
        <v>323</v>
      </c>
      <c r="C83" s="408">
        <f>C82/Wy</f>
        <v>7.5231216896186437</v>
      </c>
      <c r="D83" s="151" t="s">
        <v>261</v>
      </c>
    </row>
    <row r="84" spans="1:5" ht="18.75">
      <c r="A84" s="4"/>
      <c r="B84" s="1" t="s">
        <v>37</v>
      </c>
      <c r="C84" s="408">
        <f>K2.*gn*ABS(Q*(YC-YS)+P*(YP-YS))/(n/2*h)</f>
        <v>117.72</v>
      </c>
      <c r="D84" s="155" t="s">
        <v>664</v>
      </c>
    </row>
    <row r="85" spans="1:5" ht="18.75">
      <c r="A85" s="4"/>
      <c r="B85" s="1" t="s">
        <v>82</v>
      </c>
      <c r="C85" s="411">
        <f>3*C84*L/16</f>
        <v>39730.5</v>
      </c>
      <c r="D85" s="151" t="s">
        <v>262</v>
      </c>
    </row>
    <row r="86" spans="1:5" ht="18.75">
      <c r="A86" s="4"/>
      <c r="B86" s="1" t="s">
        <v>323</v>
      </c>
      <c r="C86" s="408">
        <f>C85/Wx</f>
        <v>2.7881052631578949</v>
      </c>
      <c r="D86" s="151" t="s">
        <v>263</v>
      </c>
    </row>
    <row r="87" spans="1:5" ht="17.25">
      <c r="A87" s="4" t="s">
        <v>83</v>
      </c>
      <c r="C87" s="408"/>
      <c r="D87" s="151"/>
    </row>
    <row r="88" spans="1:5" ht="18.75">
      <c r="A88" s="255">
        <f>165-C88</f>
        <v>154.68877304722346</v>
      </c>
      <c r="B88" s="1" t="s">
        <v>323</v>
      </c>
      <c r="C88" s="408">
        <f>C86+C83</f>
        <v>10.311226952776538</v>
      </c>
      <c r="D88" s="151" t="s">
        <v>264</v>
      </c>
    </row>
    <row r="89" spans="1:5" ht="18.75">
      <c r="A89" s="255">
        <f>165-C89</f>
        <v>154.68877304722346</v>
      </c>
      <c r="B89" s="1" t="s">
        <v>323</v>
      </c>
      <c r="C89" s="408">
        <f>C88+(K3.*Maux)/A</f>
        <v>10.311226952776538</v>
      </c>
      <c r="D89" s="151" t="s">
        <v>919</v>
      </c>
    </row>
    <row r="90" spans="1:5" ht="17.25">
      <c r="A90" s="4" t="s">
        <v>84</v>
      </c>
      <c r="C90" s="408"/>
      <c r="D90" s="151"/>
    </row>
    <row r="91" spans="1:5" ht="18.75">
      <c r="A91" s="255">
        <f>165-C91</f>
        <v>160.13393343749999</v>
      </c>
      <c r="B91" s="1" t="s">
        <v>323</v>
      </c>
      <c r="C91" s="408">
        <f>1.85*C81/c.^2</f>
        <v>4.8660665625000004</v>
      </c>
      <c r="D91" s="151" t="s">
        <v>266</v>
      </c>
    </row>
    <row r="92" spans="1:5" ht="17.25">
      <c r="A92" s="4" t="s">
        <v>85</v>
      </c>
      <c r="C92" s="408"/>
      <c r="D92" s="151"/>
    </row>
    <row r="93" spans="1:5" ht="18.75">
      <c r="A93" s="47">
        <f>5-C93</f>
        <v>4.7967034291507638</v>
      </c>
      <c r="B93" s="1" t="s">
        <v>19</v>
      </c>
      <c r="C93" s="408">
        <f>0.7*C81*L^3/(48*E*Iy)</f>
        <v>0.20329657084923661</v>
      </c>
      <c r="D93" s="151" t="s">
        <v>267</v>
      </c>
    </row>
    <row r="94" spans="1:5" ht="18.75">
      <c r="A94" s="47">
        <f>5-C94</f>
        <v>4.9198981854838708</v>
      </c>
      <c r="B94" s="1" t="s">
        <v>19</v>
      </c>
      <c r="C94" s="412">
        <f>0.7*C84*L^3/(48*E*Ix)</f>
        <v>8.0101814516129036E-2</v>
      </c>
      <c r="D94" s="151" t="s">
        <v>268</v>
      </c>
    </row>
    <row r="95" spans="1:5" ht="42.6" customHeight="1">
      <c r="A95" s="17"/>
      <c r="C95" s="412"/>
      <c r="D95" s="151"/>
    </row>
    <row r="96" spans="1:5" ht="17.25">
      <c r="A96" s="95" t="s">
        <v>86</v>
      </c>
      <c r="B96" s="96"/>
      <c r="C96" s="415"/>
      <c r="D96" s="154"/>
    </row>
    <row r="97" spans="1:5" ht="17.25">
      <c r="A97" s="4" t="s">
        <v>81</v>
      </c>
      <c r="C97" s="408"/>
      <c r="D97" s="155"/>
    </row>
    <row r="98" spans="1:5" ht="18.75">
      <c r="A98" s="4"/>
      <c r="B98" s="1" t="s">
        <v>37</v>
      </c>
      <c r="C98" s="408">
        <f>K2.*gn*ABS(Q*(XC-XS)+P*(XP-XS))/(n*h)</f>
        <v>14.715</v>
      </c>
      <c r="D98" s="155" t="s">
        <v>663</v>
      </c>
    </row>
    <row r="99" spans="1:5" ht="18.75">
      <c r="A99" s="4"/>
      <c r="B99" s="1" t="s">
        <v>82</v>
      </c>
      <c r="C99" s="411">
        <f>3*C98*L/16</f>
        <v>4966.3125</v>
      </c>
      <c r="D99" s="151" t="s">
        <v>260</v>
      </c>
    </row>
    <row r="100" spans="1:5" ht="18.75">
      <c r="A100" s="4"/>
      <c r="B100" s="1" t="s">
        <v>323</v>
      </c>
      <c r="C100" s="408">
        <f>C99/Wy</f>
        <v>0.42087394067796607</v>
      </c>
      <c r="D100" s="151" t="s">
        <v>261</v>
      </c>
    </row>
    <row r="101" spans="1:5" ht="18.75">
      <c r="A101" s="4"/>
      <c r="B101" s="1" t="s">
        <v>37</v>
      </c>
      <c r="C101" s="408">
        <f>IF(E101&gt;E102,E101,E102)</f>
        <v>632.745</v>
      </c>
      <c r="D101" s="155" t="s">
        <v>670</v>
      </c>
      <c r="E101" s="408">
        <f>K2.*gn*ABS(Q*(YC+DY/8-YS)+P*(YP-YS))/(n/2*h)</f>
        <v>632.745</v>
      </c>
    </row>
    <row r="102" spans="1:5" ht="18.75">
      <c r="A102" s="4"/>
      <c r="B102" s="1" t="s">
        <v>82</v>
      </c>
      <c r="C102" s="411">
        <f>3*C101*L/16</f>
        <v>213551.4375</v>
      </c>
      <c r="D102" s="151" t="s">
        <v>262</v>
      </c>
      <c r="E102" s="408">
        <f>K2.*gn*ABS(Q*(YC-DY/8-YS)+P*(YP-YS))/(n/2*h)</f>
        <v>397.30500000000001</v>
      </c>
    </row>
    <row r="103" spans="1:5" ht="18.75">
      <c r="A103" s="4"/>
      <c r="B103" s="1" t="s">
        <v>323</v>
      </c>
      <c r="C103" s="408">
        <f>C102/Wx</f>
        <v>14.986065789473685</v>
      </c>
      <c r="D103" s="151" t="s">
        <v>263</v>
      </c>
    </row>
    <row r="104" spans="1:5" ht="17.25">
      <c r="A104" s="4" t="s">
        <v>83</v>
      </c>
      <c r="C104" s="408"/>
      <c r="D104" s="151"/>
    </row>
    <row r="105" spans="1:5" ht="18.75">
      <c r="A105" s="255">
        <f>165-C105</f>
        <v>149.59306026984834</v>
      </c>
      <c r="B105" s="1" t="s">
        <v>323</v>
      </c>
      <c r="C105" s="408">
        <f>C103+C100</f>
        <v>15.406939730151651</v>
      </c>
      <c r="D105" s="151" t="s">
        <v>264</v>
      </c>
    </row>
    <row r="106" spans="1:5" ht="18.75">
      <c r="A106" s="255">
        <f>165-C106</f>
        <v>149.59306026984834</v>
      </c>
      <c r="B106" s="1" t="s">
        <v>323</v>
      </c>
      <c r="C106" s="408">
        <f>C105+(K3.*Maux)/A</f>
        <v>15.406939730151651</v>
      </c>
      <c r="D106" s="151" t="s">
        <v>919</v>
      </c>
    </row>
    <row r="107" spans="1:5" ht="17.25">
      <c r="A107" s="4" t="s">
        <v>84</v>
      </c>
      <c r="C107" s="408"/>
      <c r="D107" s="151"/>
    </row>
    <row r="108" spans="1:5" ht="18.75">
      <c r="A108" s="255">
        <f>165-C108</f>
        <v>164.72777249999999</v>
      </c>
      <c r="B108" s="1" t="s">
        <v>323</v>
      </c>
      <c r="C108" s="408">
        <f>1.85*C98/c.^2</f>
        <v>0.27222750000000001</v>
      </c>
      <c r="D108" s="151" t="s">
        <v>266</v>
      </c>
    </row>
    <row r="109" spans="1:5" ht="17.25">
      <c r="A109" s="4" t="s">
        <v>85</v>
      </c>
      <c r="C109" s="408"/>
      <c r="D109" s="151"/>
    </row>
    <row r="110" spans="1:5" ht="18.75">
      <c r="A110" s="47">
        <f>5-C110</f>
        <v>4.9886267652671759</v>
      </c>
      <c r="B110" s="1" t="s">
        <v>19</v>
      </c>
      <c r="C110" s="408">
        <f>0.7*C98*L^3/(48*E*Iy)</f>
        <v>1.1373234732824427E-2</v>
      </c>
      <c r="D110" s="151" t="s">
        <v>267</v>
      </c>
    </row>
    <row r="111" spans="1:5" ht="19.5" thickBot="1">
      <c r="A111" s="94">
        <f>5-C111</f>
        <v>4.5694527469758066</v>
      </c>
      <c r="B111" s="7" t="s">
        <v>19</v>
      </c>
      <c r="C111" s="414">
        <f>0.7*C101*L^3/(48*E*Ix)</f>
        <v>0.43054725302419355</v>
      </c>
      <c r="D111" s="152" t="s">
        <v>268</v>
      </c>
    </row>
    <row r="112" spans="1:5" s="50" customFormat="1" ht="6" customHeight="1" thickBot="1">
      <c r="A112" s="518"/>
      <c r="B112" s="518"/>
      <c r="C112" s="518"/>
      <c r="D112" s="518"/>
    </row>
    <row r="113" spans="1:4" ht="15">
      <c r="A113" s="732" t="s">
        <v>187</v>
      </c>
      <c r="B113" s="733"/>
      <c r="C113" s="733"/>
      <c r="D113" s="734"/>
    </row>
    <row r="114" spans="1:4" ht="17.25">
      <c r="A114" s="4" t="s">
        <v>81</v>
      </c>
      <c r="C114" s="408"/>
      <c r="D114" s="151"/>
    </row>
    <row r="115" spans="1:4" ht="18.75">
      <c r="A115" s="4"/>
      <c r="B115" s="1" t="s">
        <v>37</v>
      </c>
      <c r="C115" s="411">
        <f>ABS(P*gn*(XP-XS)+Fs*(Xi-XS))/(n*h)</f>
        <v>610.67250000000013</v>
      </c>
      <c r="D115" s="151" t="s">
        <v>662</v>
      </c>
    </row>
    <row r="116" spans="1:4" ht="18.75">
      <c r="A116" s="4"/>
      <c r="B116" s="1" t="s">
        <v>82</v>
      </c>
      <c r="C116" s="411">
        <f>3*C115*L/16</f>
        <v>206101.96875000003</v>
      </c>
      <c r="D116" s="151" t="s">
        <v>260</v>
      </c>
    </row>
    <row r="117" spans="1:4" ht="18.75">
      <c r="A117" s="4"/>
      <c r="B117" s="1" t="s">
        <v>323</v>
      </c>
      <c r="C117" s="408">
        <f>C116/Wy</f>
        <v>17.466268538135594</v>
      </c>
      <c r="D117" s="151" t="s">
        <v>261</v>
      </c>
    </row>
    <row r="118" spans="1:4" ht="18.75">
      <c r="A118" s="4"/>
      <c r="B118" s="1" t="s">
        <v>37</v>
      </c>
      <c r="C118" s="408">
        <f>ABS(P*gn*(YP-YS)+Fs*(Yi-YS))/((C10/2)*C9)</f>
        <v>147.15</v>
      </c>
      <c r="D118" s="151" t="s">
        <v>661</v>
      </c>
    </row>
    <row r="119" spans="1:4" ht="18.75">
      <c r="A119" s="4"/>
      <c r="B119" s="1" t="s">
        <v>82</v>
      </c>
      <c r="C119" s="411">
        <f>3*C118*L/16</f>
        <v>49663.125000000007</v>
      </c>
      <c r="D119" s="151" t="s">
        <v>262</v>
      </c>
    </row>
    <row r="120" spans="1:4" ht="18.75">
      <c r="A120" s="4"/>
      <c r="B120" s="1" t="s">
        <v>323</v>
      </c>
      <c r="C120" s="408">
        <f>C119/Wx</f>
        <v>3.4851315789473691</v>
      </c>
      <c r="D120" s="151" t="s">
        <v>263</v>
      </c>
    </row>
    <row r="121" spans="1:4" ht="17.25">
      <c r="A121" s="4" t="s">
        <v>83</v>
      </c>
      <c r="C121" s="408"/>
      <c r="D121" s="151"/>
    </row>
    <row r="122" spans="1:4" ht="18.75">
      <c r="A122" s="255">
        <f>165-C122</f>
        <v>144.04859988291705</v>
      </c>
      <c r="B122" s="1" t="s">
        <v>323</v>
      </c>
      <c r="C122" s="408">
        <f>C120+C117</f>
        <v>20.951400117082962</v>
      </c>
      <c r="D122" s="151" t="s">
        <v>264</v>
      </c>
    </row>
    <row r="123" spans="1:4" ht="18.75">
      <c r="A123" s="255">
        <f>165-C123</f>
        <v>144.04859988291705</v>
      </c>
      <c r="B123" s="1" t="s">
        <v>323</v>
      </c>
      <c r="C123" s="408">
        <f>C122+(K3.*Maux)/A</f>
        <v>20.951400117082962</v>
      </c>
      <c r="D123" s="151" t="s">
        <v>919</v>
      </c>
    </row>
    <row r="124" spans="1:4" ht="17.25">
      <c r="A124" s="4" t="s">
        <v>84</v>
      </c>
      <c r="C124" s="408"/>
      <c r="D124" s="151"/>
    </row>
    <row r="125" spans="1:4" ht="18.75">
      <c r="A125" s="255">
        <f>165-C125</f>
        <v>153.70255875000001</v>
      </c>
      <c r="B125" s="1" t="s">
        <v>323</v>
      </c>
      <c r="C125" s="408">
        <f>1.85*C115/c.^2</f>
        <v>11.297441250000004</v>
      </c>
      <c r="D125" s="151" t="s">
        <v>266</v>
      </c>
    </row>
    <row r="126" spans="1:4" ht="17.25">
      <c r="A126" s="4" t="s">
        <v>85</v>
      </c>
      <c r="C126" s="408"/>
      <c r="D126" s="151"/>
    </row>
    <row r="127" spans="1:4" ht="18.75">
      <c r="A127" s="47">
        <f>5-C127</f>
        <v>4.5280107585877865</v>
      </c>
      <c r="B127" s="1" t="s">
        <v>19</v>
      </c>
      <c r="C127" s="408">
        <f>0.7*C115*L^3/(48*E*Iy)</f>
        <v>0.47198924141221382</v>
      </c>
      <c r="D127" s="151" t="s">
        <v>267</v>
      </c>
    </row>
    <row r="128" spans="1:4" ht="19.5" thickBot="1">
      <c r="A128" s="94">
        <f>5-C128</f>
        <v>4.8998727318548383</v>
      </c>
      <c r="B128" s="7" t="s">
        <v>19</v>
      </c>
      <c r="C128" s="414">
        <f>0.7*C118*L^3/(48*E*Ix)</f>
        <v>0.10012726814516129</v>
      </c>
      <c r="D128" s="152" t="s">
        <v>268</v>
      </c>
    </row>
    <row r="129" spans="3:4" ht="21" customHeight="1">
      <c r="C129" s="162"/>
      <c r="D129" s="156"/>
    </row>
  </sheetData>
  <sheetProtection algorithmName="SHA-512" hashValue="kFh5MUEkqJ60+DrCmoBa0c8Y1OZpv+2IHPM8jqjgZ2XiyleIsdF/Ew7pyspoSL2G9OPeL39fz+r7bilBL91eew==" saltValue="gC54JB5ZlwaHdh8h88qU9g==" spinCount="100000" sheet="1" objects="1" scenarios="1" selectLockedCells="1" selectUnlockedCells="1"/>
  <dataConsolidate/>
  <customSheetViews>
    <customSheetView guid="{0B2838C1-64E2-4766-B82E-FE301CB42C7D}" scale="110" showGridLines="0" fitToPage="1" topLeftCell="A5">
      <selection activeCell="D26" sqref="D26"/>
      <pageMargins left="0.39370078740157483" right="0.39370078740157483" top="0.39370078740157483" bottom="0.39370078740157483" header="0.31496062992125984" footer="0.31496062992125984"/>
      <printOptions horizontalCentered="1"/>
      <pageSetup paperSize="9" scale="78" fitToHeight="2" orientation="portrait" r:id="rId1"/>
    </customSheetView>
    <customSheetView guid="{ADB28B25-780E-4315-A7F7-F519CAE45D94}" scale="110" showGridLines="0" fitToPage="1" topLeftCell="A57">
      <selection activeCell="C34" sqref="C34"/>
      <pageMargins left="0.39370078740157483" right="0.39370078740157483" top="0.39370078740157483" bottom="0.39370078740157483" header="0.31496062992125984" footer="0.31496062992125984"/>
      <printOptions horizontalCentered="1"/>
      <pageSetup paperSize="9" scale="78" fitToHeight="2" orientation="portrait" r:id="rId2"/>
    </customSheetView>
  </customSheetViews>
  <mergeCells count="4">
    <mergeCell ref="A113:D113"/>
    <mergeCell ref="A1:D1"/>
    <mergeCell ref="A38:D38"/>
    <mergeCell ref="A78:D78"/>
  </mergeCells>
  <printOptions horizontalCentered="1"/>
  <pageMargins left="0.23622047244094491" right="0.23622047244094491" top="0.74803149606299213" bottom="0.74803149606299213" header="0.31496062992125984" footer="0.31496062992125984"/>
  <pageSetup paperSize="9" scale="54" fitToHeight="2" orientation="portrait" r:id="rId3"/>
  <rowBreaks count="1" manualBreakCount="1">
    <brk id="76" max="3" man="1"/>
  </rowBreaks>
  <drawing r:id="rId4"/>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RopeCalc">
    <tabColor rgb="FFA3FFA3"/>
    <pageSetUpPr autoPageBreaks="0"/>
  </sheetPr>
  <dimension ref="A1:G119"/>
  <sheetViews>
    <sheetView showRowColHeaders="0" rightToLeft="1" view="pageBreakPreview" topLeftCell="A65" zoomScale="110" zoomScaleNormal="100" zoomScaleSheetLayoutView="110" zoomScalePageLayoutView="140" workbookViewId="0">
      <selection activeCell="C74" sqref="C74"/>
    </sheetView>
  </sheetViews>
  <sheetFormatPr defaultColWidth="8.69921875" defaultRowHeight="21" customHeight="1"/>
  <cols>
    <col min="1" max="1" width="41.59765625" style="53" bestFit="1" customWidth="1"/>
    <col min="2" max="2" width="6.8984375" style="55" customWidth="1"/>
    <col min="3" max="3" width="9.8984375" style="148" bestFit="1" customWidth="1"/>
    <col min="4" max="4" width="47.296875" style="149" customWidth="1"/>
    <col min="5" max="16384" width="8.69921875" style="5"/>
  </cols>
  <sheetData>
    <row r="1" spans="1:6" ht="24" customHeight="1" thickBot="1">
      <c r="A1" s="751" t="s">
        <v>201</v>
      </c>
      <c r="B1" s="752"/>
      <c r="C1" s="752"/>
      <c r="D1" s="753"/>
    </row>
    <row r="2" spans="1:6" s="48" customFormat="1" ht="18" customHeight="1" thickBot="1">
      <c r="A2" s="596" t="s">
        <v>1</v>
      </c>
      <c r="B2" s="597" t="s">
        <v>2</v>
      </c>
      <c r="C2" s="599" t="s">
        <v>3</v>
      </c>
      <c r="D2" s="600" t="s">
        <v>4</v>
      </c>
    </row>
    <row r="3" spans="1:6" s="48" customFormat="1" ht="15.6" customHeight="1">
      <c r="A3" s="88" t="s">
        <v>61</v>
      </c>
      <c r="B3" s="87"/>
      <c r="C3" s="89"/>
      <c r="D3" s="90"/>
    </row>
    <row r="4" spans="1:6" ht="18.75">
      <c r="A4" s="4" t="s">
        <v>452</v>
      </c>
      <c r="B4" s="1" t="s">
        <v>161</v>
      </c>
      <c r="C4" s="598">
        <f>IF(nc=0,0,mcr)</f>
        <v>0</v>
      </c>
      <c r="D4" s="151" t="s">
        <v>390</v>
      </c>
      <c r="F4" s="49"/>
    </row>
    <row r="5" spans="1:6" ht="18.75">
      <c r="A5" s="4" t="s">
        <v>50</v>
      </c>
      <c r="B5" s="1" t="s">
        <v>161</v>
      </c>
      <c r="C5" s="371">
        <f>IF(Rope_Brand="انواع دیگر",VLOOKUP(dsr,Rope_Data_Table,2),VLOOKUP(dsr,Rope_Data_Table,Rope_Type*2))</f>
        <v>0.35</v>
      </c>
      <c r="D5" s="151" t="s">
        <v>389</v>
      </c>
    </row>
    <row r="6" spans="1:6" ht="18.75">
      <c r="A6" s="4" t="s">
        <v>191</v>
      </c>
      <c r="B6" s="1" t="s">
        <v>190</v>
      </c>
      <c r="C6" s="168">
        <f>IF(Rope_Brand="انواع دیگر",VLOOKUP(dsr,Rope_Data_Table,3)*0.97,VLOOKUP(dsr,Rope_Data_Table,Rope_Type*2+1))</f>
        <v>50</v>
      </c>
      <c r="D6" s="151" t="s">
        <v>300</v>
      </c>
    </row>
    <row r="7" spans="1:6" ht="18.75">
      <c r="A7" s="4" t="s">
        <v>401</v>
      </c>
      <c r="B7" s="1" t="s">
        <v>10</v>
      </c>
      <c r="C7" s="163">
        <f>Vsr</f>
        <v>3.2</v>
      </c>
      <c r="D7" s="151" t="s">
        <v>402</v>
      </c>
      <c r="F7" s="52"/>
    </row>
    <row r="8" spans="1:6" s="50" customFormat="1" ht="18.75">
      <c r="A8" s="4" t="s">
        <v>463</v>
      </c>
      <c r="B8" s="1" t="s">
        <v>46</v>
      </c>
      <c r="C8" s="169">
        <f>IF('ورودی ها'!E74="پلیمری",HLOOKUP(dDPcar,PulleyReducedMass,(nS-1),TRUE)*iDPcar*Wr/5,HLOOKUP(dDPcar,PulleyReducedMass,(nS-1),TRUE)*iDPcar*Wr)</f>
        <v>3.2</v>
      </c>
      <c r="D8" s="151" t="s">
        <v>464</v>
      </c>
    </row>
    <row r="9" spans="1:6" s="50" customFormat="1" ht="18.75">
      <c r="A9" s="4" t="s">
        <v>466</v>
      </c>
      <c r="B9" s="1" t="s">
        <v>46</v>
      </c>
      <c r="C9" s="169">
        <f>IF('ورودی ها'!E75="پلیمری",HLOOKUP(dDPcwt,PulleyReducedMass,(nS-1),TRUE)*iDPcwt*Wr/5,HLOOKUP(dDPcwt,PulleyReducedMass,(nS-1),TRUE)*iDPcwt*Wr)</f>
        <v>0</v>
      </c>
      <c r="D9" s="151" t="s">
        <v>465</v>
      </c>
    </row>
    <row r="10" spans="1:6" s="50" customFormat="1" ht="18.75">
      <c r="A10" s="4" t="s">
        <v>434</v>
      </c>
      <c r="B10" s="1" t="s">
        <v>46</v>
      </c>
      <c r="C10" s="169">
        <f>IF('ورودی ها'!E76="پلیمری",HLOOKUP(dPcar,PulleyReducedMass,nS-1,TRUE)*iPcar/5,HLOOKUP(dPcar,PulleyReducedMass,nS-1,TRUE)*iPcar)</f>
        <v>6.4</v>
      </c>
      <c r="D10" s="151" t="s">
        <v>438</v>
      </c>
    </row>
    <row r="11" spans="1:6" s="50" customFormat="1" ht="18.75">
      <c r="A11" s="4" t="s">
        <v>435</v>
      </c>
      <c r="B11" s="1" t="s">
        <v>46</v>
      </c>
      <c r="C11" s="373">
        <f>IF('ورودی ها'!E77="پلیمری",HLOOKUP(dPcwt,PulleyReducedMass,nS-1,TRUE)*iPcwt/5,HLOOKUP(dPcwt,PulleyReducedMass,nS-1,TRUE)*iPcwt)</f>
        <v>5</v>
      </c>
      <c r="D11" s="151" t="s">
        <v>437</v>
      </c>
    </row>
    <row r="12" spans="1:6" s="50" customFormat="1" ht="18.75">
      <c r="A12" s="4" t="s">
        <v>436</v>
      </c>
      <c r="B12" s="1" t="s">
        <v>46</v>
      </c>
      <c r="C12" s="163">
        <f>IF(Comp="ندارد",0,mPTD)</f>
        <v>0</v>
      </c>
      <c r="D12" s="151" t="s">
        <v>335</v>
      </c>
    </row>
    <row r="13" spans="1:6" ht="18.75">
      <c r="A13" s="4" t="s">
        <v>52</v>
      </c>
      <c r="B13" s="1" t="s">
        <v>46</v>
      </c>
      <c r="C13" s="163">
        <f>IF(Comp="ندارد",0,MComp)</f>
        <v>0</v>
      </c>
      <c r="D13" s="151" t="s">
        <v>290</v>
      </c>
      <c r="F13" s="51"/>
    </row>
    <row r="14" spans="1:6" ht="17.25" customHeight="1">
      <c r="A14" s="4" t="s">
        <v>720</v>
      </c>
      <c r="B14" s="1" t="s">
        <v>46</v>
      </c>
      <c r="C14" s="169">
        <f>H.*nS*msr</f>
        <v>40.32</v>
      </c>
      <c r="D14" s="151" t="s">
        <v>718</v>
      </c>
      <c r="E14" s="48"/>
    </row>
    <row r="15" spans="1:6" ht="18.75">
      <c r="A15" s="4" t="s">
        <v>721</v>
      </c>
      <c r="B15" s="1" t="s">
        <v>46</v>
      </c>
      <c r="C15" s="169">
        <f>H.*nc*mcr</f>
        <v>0</v>
      </c>
      <c r="D15" s="151" t="s">
        <v>719</v>
      </c>
      <c r="F15" s="52"/>
    </row>
    <row r="16" spans="1:6" ht="18.75">
      <c r="A16" s="4" t="s">
        <v>168</v>
      </c>
      <c r="B16" s="1" t="s">
        <v>46</v>
      </c>
      <c r="C16" s="169">
        <f>0.5*H.*mt*nt</f>
        <v>6.48</v>
      </c>
      <c r="D16" s="151" t="s">
        <v>722</v>
      </c>
      <c r="E16" s="52"/>
    </row>
    <row r="17" spans="1:7" thickBot="1">
      <c r="A17" s="6" t="s">
        <v>87</v>
      </c>
      <c r="B17" s="7" t="s">
        <v>46</v>
      </c>
      <c r="C17" s="601">
        <f>P+q.*Q+MTrav/2</f>
        <v>1139.24</v>
      </c>
      <c r="D17" s="602" t="s">
        <v>707</v>
      </c>
    </row>
    <row r="18" spans="1:7" ht="7.9" customHeight="1" thickBot="1">
      <c r="A18" s="418"/>
      <c r="B18" s="419"/>
      <c r="C18" s="420"/>
      <c r="D18" s="419"/>
    </row>
    <row r="19" spans="1:7" ht="20.25" customHeight="1">
      <c r="A19" s="738" t="s">
        <v>165</v>
      </c>
      <c r="B19" s="739"/>
      <c r="C19" s="739"/>
      <c r="D19" s="740"/>
    </row>
    <row r="20" spans="1:7" ht="15">
      <c r="A20" s="4" t="s">
        <v>20</v>
      </c>
      <c r="B20" s="179"/>
      <c r="C20" s="165" t="str">
        <f>Groove_Type</f>
        <v>U</v>
      </c>
      <c r="D20" s="173" t="s">
        <v>88</v>
      </c>
    </row>
    <row r="21" spans="1:7" ht="15">
      <c r="A21" s="4" t="s">
        <v>89</v>
      </c>
      <c r="B21" s="179"/>
      <c r="C21" s="165" t="str">
        <f>IF(β.=0,"ندارد", "دارد")</f>
        <v>دارد</v>
      </c>
      <c r="D21" s="173"/>
    </row>
    <row r="22" spans="1:7" ht="15">
      <c r="A22" s="4" t="s">
        <v>21</v>
      </c>
      <c r="B22" s="179"/>
      <c r="C22" s="165" t="str">
        <f>IF(Groove_Type="V hardened","سخت شده",IF(Groove_Type="V","سخت نشده","-"))</f>
        <v>-</v>
      </c>
      <c r="D22" s="173"/>
    </row>
    <row r="23" spans="1:7" ht="18.75">
      <c r="A23" s="4" t="s">
        <v>233</v>
      </c>
      <c r="B23" s="179" t="s">
        <v>19</v>
      </c>
      <c r="C23" s="166">
        <f>IF(hP="","",RDB-(Dt+dDP)/2)</f>
        <v>300</v>
      </c>
      <c r="D23" s="151" t="s">
        <v>302</v>
      </c>
    </row>
    <row r="24" spans="1:7" ht="18.75">
      <c r="A24" s="4" t="s">
        <v>649</v>
      </c>
      <c r="B24" s="179" t="s">
        <v>19</v>
      </c>
      <c r="C24" s="359">
        <f>IF(hP="","",hP)</f>
        <v>800</v>
      </c>
      <c r="D24" s="151" t="s">
        <v>275</v>
      </c>
    </row>
    <row r="25" spans="1:7" ht="32.65" customHeight="1">
      <c r="A25" s="4" t="s">
        <v>163</v>
      </c>
      <c r="B25" s="179" t="s">
        <v>91</v>
      </c>
      <c r="C25" s="167">
        <f>RADIANS(α.)</f>
        <v>3.1415926535897931</v>
      </c>
      <c r="D25" s="174" t="str">
        <f>IF(iDPcar+iDPcwt&gt;1," برای بیش از یک فلکه فاصله انداز، زاویه آلفا باید بصورت دستی وارد شود",IF(hP="","به صورت دستی α =",IF(AND(Wr=2,iDPcar+iDPcwt=1),"α =2π-SIN-1(((lp*(lp^2+hP^2-(Dt/2-Ddp/2)^2)^0.5)-hP*(Dt/2-Ddp/2))/(lp^2+hP^2)) =",IF(AND(Wr=1,iDPcar+iDPcwt=1),"α =π-SIN-1(((lp*(lp^2+hP^2-(Dt/2-Ddp/2)^2)^0.5)-hP*(Dt/2-Ddp/2))/(lp^2+hP^2)) =","نیم دور کامل روی فلکه کشش"))))</f>
        <v>α =π-SIN-1(((lp*(lp^2+hP^2-(Dt/2-Ddp/2)^2)^0.5)-hP*(Dt/2-Ddp/2))/(lp^2+hP^2)) =</v>
      </c>
      <c r="G25" s="52"/>
    </row>
    <row r="26" spans="1:7" ht="17.25">
      <c r="A26" s="4" t="s">
        <v>163</v>
      </c>
      <c r="B26" s="179" t="s">
        <v>22</v>
      </c>
      <c r="C26" s="168">
        <f>α.</f>
        <v>180</v>
      </c>
      <c r="D26" s="151" t="s">
        <v>164</v>
      </c>
    </row>
    <row r="27" spans="1:7" ht="17.25">
      <c r="A27" s="4" t="s">
        <v>90</v>
      </c>
      <c r="B27" s="179" t="s">
        <v>91</v>
      </c>
      <c r="C27" s="371">
        <f>RADIANS(γ)</f>
        <v>0.43633231299858238</v>
      </c>
      <c r="D27" s="151" t="s">
        <v>198</v>
      </c>
    </row>
    <row r="28" spans="1:7" ht="17.25">
      <c r="A28" s="4" t="s">
        <v>92</v>
      </c>
      <c r="B28" s="179" t="s">
        <v>91</v>
      </c>
      <c r="C28" s="165">
        <f>RADIANS(β)</f>
        <v>1.6964600329384885</v>
      </c>
      <c r="D28" s="151" t="s">
        <v>199</v>
      </c>
    </row>
    <row r="29" spans="1:7" ht="18.75">
      <c r="A29" s="4" t="s">
        <v>93</v>
      </c>
      <c r="B29" s="179" t="s">
        <v>10</v>
      </c>
      <c r="C29" s="165">
        <f>VCar*r.</f>
        <v>3.2</v>
      </c>
      <c r="D29" s="151" t="s">
        <v>303</v>
      </c>
      <c r="F29" s="52"/>
    </row>
    <row r="30" spans="1:7" ht="18.75">
      <c r="A30" s="4" t="s">
        <v>94</v>
      </c>
      <c r="B30" s="179" t="s">
        <v>63</v>
      </c>
      <c r="C30" s="165">
        <v>0.1</v>
      </c>
      <c r="D30" s="151" t="s">
        <v>304</v>
      </c>
    </row>
    <row r="31" spans="1:7" ht="18.75">
      <c r="A31" s="4" t="s">
        <v>95</v>
      </c>
      <c r="B31" s="179" t="s">
        <v>63</v>
      </c>
      <c r="C31" s="371">
        <f>0.1/(1+Vsr/10)</f>
        <v>7.575757575757576E-2</v>
      </c>
      <c r="D31" s="151" t="s">
        <v>305</v>
      </c>
    </row>
    <row r="32" spans="1:7" ht="18.75">
      <c r="A32" s="4" t="s">
        <v>96</v>
      </c>
      <c r="B32" s="179" t="s">
        <v>63</v>
      </c>
      <c r="C32" s="165">
        <v>0.2</v>
      </c>
      <c r="D32" s="151" t="s">
        <v>306</v>
      </c>
      <c r="G32" s="52"/>
    </row>
    <row r="33" spans="1:7" ht="17.25">
      <c r="A33" s="4" t="s">
        <v>97</v>
      </c>
      <c r="B33" s="179" t="s">
        <v>63</v>
      </c>
      <c r="C33" s="165">
        <f>IF(Groove_Type="U",µ1*4*(COS(γ./2)-SIN(β./2))/(PI()-β.-γ.-SIN(β.)+SIN(γ.)),IF(Hardened=FALSE,µ1*4*(1-SIN(β./2))/(PI()-β.-SIN(β.)),µ1/SIN(γ./2)))</f>
        <v>0.20594850528275138</v>
      </c>
      <c r="D33" s="151" t="str">
        <f>IF(Groove_Type="U","f1 =μ1*4*(Cos(γ/2)-Sin(β/2))/(π-β-γ-Sin(β)+Sin(γ)) =",IF(Hardened=TRUE,"f1 = μ1/Sin(γ/2)) =","f1 =μ1*4*(1-Sin(β/2))/(π-β-Sin(β)) ="))</f>
        <v>f1 =μ1*4*(Cos(γ/2)-Sin(β/2))/(π-β-γ-Sin(β)+Sin(γ)) =</v>
      </c>
    </row>
    <row r="34" spans="1:7" ht="17.25">
      <c r="A34" s="4" t="s">
        <v>98</v>
      </c>
      <c r="B34" s="179" t="s">
        <v>63</v>
      </c>
      <c r="C34" s="165">
        <f>IF(Groove_Type="U",µ2*4*(COS(γ./2)-SIN(β./2))/(PI()-β.-γ.-SIN(β.)+SIN(γ.)),IF(Hardened=FALSE,µ2*4*(1-SIN(β./2))/(PI()-β.-SIN(β.)),µ2/SIN(γ./2)))</f>
        <v>0.15602159491117529</v>
      </c>
      <c r="D34" s="151" t="str">
        <f>IF(Groove_Type="U","f2 =μ2*4*(Cos(γ/2)-Sin(β/2))/(π-β-γ-Sin(β)+Sin(γ)) =",IF(Hardened=TRUE,"f2 = μ2/Sin(γ/2)) =","f2 = μ2*4*(1-Sin(β/2))/(π-β-Sin(β)) ="))</f>
        <v>f2 =μ2*4*(Cos(γ/2)-Sin(β/2))/(π-β-γ-Sin(β)+Sin(γ)) =</v>
      </c>
      <c r="G34" s="52"/>
    </row>
    <row r="35" spans="1:7" ht="18" thickBot="1">
      <c r="A35" s="6" t="s">
        <v>99</v>
      </c>
      <c r="B35" s="180" t="s">
        <v>63</v>
      </c>
      <c r="C35" s="372">
        <f>IF(Groove_Type="U",µ3*4*(COS(γ./2)-SIN(β./2))/(PI()-β.-γ.-SIN(β.)+SIN(γ.)),µ3/SIN(γ./2))</f>
        <v>0.41189701056550276</v>
      </c>
      <c r="D35" s="152" t="str">
        <f>IF(Groove_Type="U","f3 =μ3*4*(Cos(γ/2)-Sin(β/2))/(π-β-γ-Sin(β)+Sin(γ)) =","f3 = μ3/Sin(γ/2)) =")</f>
        <v>f3 =μ3*4*(Cos(γ/2)-Sin(β/2))/(π-β-γ-Sin(β)+Sin(γ)) =</v>
      </c>
    </row>
    <row r="36" spans="1:7" ht="7.15" customHeight="1" thickBot="1">
      <c r="A36" s="419"/>
      <c r="B36" s="419"/>
      <c r="C36" s="419"/>
      <c r="D36" s="421"/>
    </row>
    <row r="37" spans="1:7" ht="17.25" customHeight="1">
      <c r="A37" s="738" t="s">
        <v>603</v>
      </c>
      <c r="B37" s="739"/>
      <c r="C37" s="739"/>
      <c r="D37" s="740"/>
    </row>
    <row r="38" spans="1:7" ht="17.25" customHeight="1">
      <c r="A38" s="4" t="s">
        <v>169</v>
      </c>
      <c r="B38" s="1" t="s">
        <v>324</v>
      </c>
      <c r="C38" s="169">
        <v>0</v>
      </c>
      <c r="D38" s="151" t="s">
        <v>58</v>
      </c>
    </row>
    <row r="39" spans="1:7" ht="17.25" customHeight="1">
      <c r="A39" s="131" t="s">
        <v>167</v>
      </c>
      <c r="B39" s="132" t="s">
        <v>46</v>
      </c>
      <c r="C39" s="257">
        <f>1.25*Q</f>
        <v>1000</v>
      </c>
      <c r="D39" s="153" t="s">
        <v>308</v>
      </c>
    </row>
    <row r="40" spans="1:7" ht="17.25" customHeight="1">
      <c r="A40" s="95" t="s">
        <v>386</v>
      </c>
      <c r="B40" s="1"/>
      <c r="C40" s="169"/>
      <c r="D40" s="151"/>
    </row>
    <row r="41" spans="1:7" ht="17.25" customHeight="1">
      <c r="A41" s="4" t="s">
        <v>166</v>
      </c>
      <c r="B41" s="1" t="s">
        <v>55</v>
      </c>
      <c r="C41" s="169">
        <f>-H./2</f>
        <v>-14.4</v>
      </c>
      <c r="D41" s="151" t="s">
        <v>307</v>
      </c>
    </row>
    <row r="42" spans="1:7" ht="18.75">
      <c r="A42" s="4" t="s">
        <v>333</v>
      </c>
      <c r="B42" s="1" t="s">
        <v>37</v>
      </c>
      <c r="C42" s="169">
        <f>(P+Q1.)*gn/r.+MComp*gn/(2*r.)+MSR.*gn-FRCar/r.</f>
        <v>9124.5391999999993</v>
      </c>
      <c r="D42" s="174" t="s">
        <v>738</v>
      </c>
    </row>
    <row r="43" spans="1:7" ht="18.75">
      <c r="A43" s="4" t="s">
        <v>334</v>
      </c>
      <c r="B43" s="1" t="s">
        <v>37</v>
      </c>
      <c r="C43" s="168">
        <f>(Mcwt+MCR.)*gn/r.+MComp*gn/(2*r.)+FRCwt/r.</f>
        <v>5637.9722000000002</v>
      </c>
      <c r="D43" s="174" t="s">
        <v>739</v>
      </c>
    </row>
    <row r="44" spans="1:7" ht="18.75">
      <c r="A44" s="241"/>
      <c r="B44" s="242"/>
      <c r="C44" s="371">
        <f>EXP(f1.*α)</f>
        <v>1.9098148710596015</v>
      </c>
      <c r="D44" s="151" t="s">
        <v>309</v>
      </c>
      <c r="G44" s="52"/>
    </row>
    <row r="45" spans="1:7" ht="17.25" customHeight="1">
      <c r="A45" s="258">
        <f>C44-C45</f>
        <v>0.29140689097059025</v>
      </c>
      <c r="B45" s="259"/>
      <c r="C45" s="603">
        <f>C42/C43</f>
        <v>1.6184079800890112</v>
      </c>
      <c r="D45" s="153" t="s">
        <v>310</v>
      </c>
    </row>
    <row r="46" spans="1:7" ht="17.25" customHeight="1">
      <c r="A46" s="14" t="s">
        <v>391</v>
      </c>
      <c r="B46" s="1"/>
      <c r="C46" s="169"/>
      <c r="D46" s="151"/>
    </row>
    <row r="47" spans="1:7" ht="17.25" customHeight="1">
      <c r="A47" s="4" t="s">
        <v>166</v>
      </c>
      <c r="B47" s="1" t="s">
        <v>55</v>
      </c>
      <c r="C47" s="169">
        <f>H./2</f>
        <v>14.4</v>
      </c>
      <c r="D47" s="151" t="s">
        <v>311</v>
      </c>
    </row>
    <row r="48" spans="1:7" ht="18.75">
      <c r="A48" s="4" t="s">
        <v>333</v>
      </c>
      <c r="B48" s="1" t="s">
        <v>37</v>
      </c>
      <c r="C48" s="169">
        <f>(P+Q1.+MCR.+MTrav)*gn/r.+MComp*gn/(2*r.)-FRCar/r.</f>
        <v>8760.7844000000005</v>
      </c>
      <c r="D48" s="174" t="s">
        <v>753</v>
      </c>
    </row>
    <row r="49" spans="1:7" ht="18.75">
      <c r="A49" s="4" t="s">
        <v>334</v>
      </c>
      <c r="B49" s="1" t="s">
        <v>37</v>
      </c>
      <c r="C49" s="168">
        <f>Mcwt*gn/r.+MComp*gn/(2*r.)+MSR.*gn+FRCwt/r.</f>
        <v>6033.5114000000003</v>
      </c>
      <c r="D49" s="174" t="s">
        <v>754</v>
      </c>
    </row>
    <row r="50" spans="1:7" ht="18.75">
      <c r="A50" s="85"/>
      <c r="B50" s="86"/>
      <c r="C50" s="371">
        <f>EXP(f1.*α)</f>
        <v>1.9098148710596015</v>
      </c>
      <c r="D50" s="151" t="s">
        <v>309</v>
      </c>
      <c r="G50" s="52"/>
    </row>
    <row r="51" spans="1:7" ht="17.25" customHeight="1" thickBot="1">
      <c r="A51" s="80">
        <f>C50-C51</f>
        <v>0.45779401302326783</v>
      </c>
      <c r="B51" s="81"/>
      <c r="C51" s="422">
        <f>C48/C49</f>
        <v>1.4520208580363336</v>
      </c>
      <c r="D51" s="152" t="s">
        <v>310</v>
      </c>
    </row>
    <row r="52" spans="1:7" ht="6" customHeight="1" thickBot="1">
      <c r="A52" s="754"/>
      <c r="B52" s="754"/>
      <c r="C52" s="754"/>
      <c r="D52" s="755"/>
    </row>
    <row r="53" spans="1:7" ht="15">
      <c r="A53" s="738" t="s">
        <v>392</v>
      </c>
      <c r="B53" s="739"/>
      <c r="C53" s="739"/>
      <c r="D53" s="740"/>
    </row>
    <row r="54" spans="1:7" ht="17.25">
      <c r="A54" s="4" t="s">
        <v>169</v>
      </c>
      <c r="B54" s="1" t="s">
        <v>324</v>
      </c>
      <c r="C54" s="169">
        <f>a.</f>
        <v>0.5</v>
      </c>
      <c r="D54" s="151" t="s">
        <v>58</v>
      </c>
    </row>
    <row r="55" spans="1:7" ht="18.75">
      <c r="A55" s="131" t="s">
        <v>167</v>
      </c>
      <c r="B55" s="132" t="s">
        <v>46</v>
      </c>
      <c r="C55" s="257">
        <f>0*Q</f>
        <v>0</v>
      </c>
      <c r="D55" s="153" t="s">
        <v>312</v>
      </c>
    </row>
    <row r="56" spans="1:7" ht="17.25" customHeight="1">
      <c r="A56" s="756" t="s">
        <v>724</v>
      </c>
      <c r="B56" s="756"/>
      <c r="C56" s="169"/>
      <c r="D56" s="151"/>
    </row>
    <row r="57" spans="1:7" ht="17.25">
      <c r="A57" s="4" t="s">
        <v>166</v>
      </c>
      <c r="B57" s="1" t="s">
        <v>55</v>
      </c>
      <c r="C57" s="169">
        <f>y1.</f>
        <v>-14.4</v>
      </c>
      <c r="D57" s="151" t="s">
        <v>393</v>
      </c>
    </row>
    <row r="58" spans="1:7" ht="37.5">
      <c r="A58" s="4" t="s">
        <v>333</v>
      </c>
      <c r="B58" s="1" t="s">
        <v>37</v>
      </c>
      <c r="C58" s="169">
        <f>(Mcwt+MCR.)*(gn+a.)/r.+MComp*gn/(2*r.)+(mPTD*a./r.)+(mDPcwt*r.*a.)+mPcwt*a.-FRCwt/r.</f>
        <v>5825.2822000000006</v>
      </c>
      <c r="D58" s="175" t="s">
        <v>755</v>
      </c>
    </row>
    <row r="59" spans="1:7" ht="37.5">
      <c r="A59" s="4" t="s">
        <v>334</v>
      </c>
      <c r="B59" s="1" t="s">
        <v>37</v>
      </c>
      <c r="C59" s="169">
        <f>P*(gn-a.)/r.+MComp*gn/(2*r.)+MSR.*(gn-r.*a.)-(mPTD*a./r.)-(mDPcar*r.*a.)-mPcar*a.+FRCar/r.</f>
        <v>4172.8191999999999</v>
      </c>
      <c r="D59" s="175" t="s">
        <v>756</v>
      </c>
    </row>
    <row r="60" spans="1:7" ht="18.75">
      <c r="A60" s="85"/>
      <c r="B60" s="86"/>
      <c r="C60" s="167">
        <f>EXP(f2.*α)</f>
        <v>1.6325713650008902</v>
      </c>
      <c r="D60" s="175" t="s">
        <v>313</v>
      </c>
      <c r="G60" s="52"/>
    </row>
    <row r="61" spans="1:7" ht="18.75">
      <c r="A61" s="261">
        <f>C60-C61</f>
        <v>0.2365649911805241</v>
      </c>
      <c r="B61" s="259"/>
      <c r="C61" s="260">
        <f>C58/C59</f>
        <v>1.3960063738203661</v>
      </c>
      <c r="D61" s="262" t="s">
        <v>310</v>
      </c>
    </row>
    <row r="62" spans="1:7" ht="17.25" customHeight="1">
      <c r="A62" s="756" t="s">
        <v>723</v>
      </c>
      <c r="B62" s="756"/>
      <c r="C62" s="169"/>
      <c r="D62" s="151"/>
    </row>
    <row r="63" spans="1:7" ht="18.75">
      <c r="A63" s="4" t="s">
        <v>166</v>
      </c>
      <c r="B63" s="1" t="s">
        <v>55</v>
      </c>
      <c r="C63" s="169">
        <f>y2.</f>
        <v>14.4</v>
      </c>
      <c r="D63" s="151" t="s">
        <v>311</v>
      </c>
    </row>
    <row r="64" spans="1:7" ht="37.5">
      <c r="A64" s="4" t="s">
        <v>333</v>
      </c>
      <c r="B64" s="1" t="s">
        <v>37</v>
      </c>
      <c r="C64" s="169">
        <f>(Mcwt)*(gn+a.)/r.+MComp*gn/(2*r.)+(mPTD*a./r.)+MSR.*(gn+r.*a.)+(mDPcwt*r.*a.)+mPcwt*a.-FRCwt/r.</f>
        <v>6261.1414000000004</v>
      </c>
      <c r="D64" s="175" t="s">
        <v>740</v>
      </c>
    </row>
    <row r="65" spans="1:7" ht="37.5">
      <c r="A65" s="4" t="s">
        <v>334</v>
      </c>
      <c r="B65" s="1" t="s">
        <v>37</v>
      </c>
      <c r="C65" s="169">
        <f>(P+Q2.+MCR.+MTrav)*(gn-a.)/r.+MComp*gn/(2*r.)-(mPTD.*a./r.)-(mDPcar*r.*a.)-mPcar*a.+FRCar/r.</f>
        <v>3847.7644000000005</v>
      </c>
      <c r="D65" s="175" t="s">
        <v>741</v>
      </c>
    </row>
    <row r="66" spans="1:7" ht="18.75">
      <c r="A66" s="241"/>
      <c r="B66" s="242"/>
      <c r="C66" s="371">
        <f>EXP(f2.*α)</f>
        <v>1.6325713650008902</v>
      </c>
      <c r="D66" s="175" t="s">
        <v>313</v>
      </c>
      <c r="G66" s="52"/>
    </row>
    <row r="67" spans="1:7" ht="19.5" thickBot="1">
      <c r="A67" s="82">
        <f>C66-C67</f>
        <v>5.355987676852525E-3</v>
      </c>
      <c r="B67" s="81"/>
      <c r="C67" s="422">
        <f>C64/C65</f>
        <v>1.6272153773240376</v>
      </c>
      <c r="D67" s="263" t="s">
        <v>310</v>
      </c>
    </row>
    <row r="68" spans="1:7" ht="9.6" customHeight="1" thickBot="1">
      <c r="A68" s="754"/>
      <c r="B68" s="754"/>
      <c r="C68" s="754"/>
      <c r="D68" s="755"/>
    </row>
    <row r="69" spans="1:7" ht="17.25" customHeight="1">
      <c r="A69" s="738" t="s">
        <v>394</v>
      </c>
      <c r="B69" s="739"/>
      <c r="C69" s="739"/>
      <c r="D69" s="740"/>
    </row>
    <row r="70" spans="1:7" ht="17.25">
      <c r="A70" s="4" t="s">
        <v>169</v>
      </c>
      <c r="B70" s="1" t="s">
        <v>324</v>
      </c>
      <c r="C70" s="169">
        <f>a.</f>
        <v>0.5</v>
      </c>
      <c r="D70" s="151" t="s">
        <v>58</v>
      </c>
    </row>
    <row r="71" spans="1:7" ht="18.75">
      <c r="A71" s="131" t="s">
        <v>167</v>
      </c>
      <c r="B71" s="132" t="s">
        <v>46</v>
      </c>
      <c r="C71" s="257">
        <f>1*Q</f>
        <v>800</v>
      </c>
      <c r="D71" s="153" t="s">
        <v>395</v>
      </c>
    </row>
    <row r="72" spans="1:7" ht="17.25" customHeight="1">
      <c r="A72" s="756" t="s">
        <v>725</v>
      </c>
      <c r="B72" s="756"/>
      <c r="C72" s="169"/>
      <c r="D72" s="151"/>
    </row>
    <row r="73" spans="1:7" ht="17.25">
      <c r="A73" s="4" t="s">
        <v>166</v>
      </c>
      <c r="B73" s="1" t="s">
        <v>55</v>
      </c>
      <c r="C73" s="169">
        <f>y1.</f>
        <v>-14.4</v>
      </c>
      <c r="D73" s="151" t="s">
        <v>393</v>
      </c>
    </row>
    <row r="74" spans="1:7" ht="37.5">
      <c r="A74" s="4" t="s">
        <v>333</v>
      </c>
      <c r="B74" s="1" t="s">
        <v>37</v>
      </c>
      <c r="C74" s="169">
        <f>(P+Q)*(gn+a.)/r.+MComp*gn/(2*r.)+MSR.*(gn+r.*a.)+(mPTD*a./r.)+(mDPcar*r.*a.)+mPcar*a.-FRCar/r.</f>
        <v>8590.2592000000022</v>
      </c>
      <c r="D74" s="175" t="s">
        <v>742</v>
      </c>
    </row>
    <row r="75" spans="1:7" ht="37.5">
      <c r="A75" s="4" t="s">
        <v>334</v>
      </c>
      <c r="B75" s="1" t="s">
        <v>37</v>
      </c>
      <c r="C75" s="169">
        <f>(Mcwt+MCR.)*(gn-a.)/r.+MComp*gn/(2*r.)-(mPTD*a./r.)-(mDPcwt*r.*a.)-mPcwt*a.+FRCwt/r.</f>
        <v>5350.6622000000007</v>
      </c>
      <c r="D75" s="175" t="s">
        <v>743</v>
      </c>
    </row>
    <row r="76" spans="1:7" ht="18.75">
      <c r="A76" s="241"/>
      <c r="B76" s="242"/>
      <c r="C76" s="289">
        <f>EXP(f2.*α)</f>
        <v>1.6325713650008902</v>
      </c>
      <c r="D76" s="175" t="s">
        <v>313</v>
      </c>
      <c r="G76" s="52"/>
    </row>
    <row r="77" spans="1:7" ht="19.5" thickBot="1">
      <c r="A77" s="261">
        <f>C76-C77</f>
        <v>2.7114156358565289E-2</v>
      </c>
      <c r="B77" s="259"/>
      <c r="C77" s="290">
        <f>C74/C75</f>
        <v>1.6054572086423249</v>
      </c>
      <c r="D77" s="263" t="s">
        <v>310</v>
      </c>
    </row>
    <row r="78" spans="1:7" ht="17.25" customHeight="1">
      <c r="A78" s="756" t="s">
        <v>726</v>
      </c>
      <c r="B78" s="756"/>
      <c r="C78" s="169"/>
      <c r="D78" s="151"/>
    </row>
    <row r="79" spans="1:7" ht="18.75">
      <c r="A79" s="4" t="s">
        <v>166</v>
      </c>
      <c r="B79" s="1" t="s">
        <v>55</v>
      </c>
      <c r="C79" s="169">
        <f>y2.</f>
        <v>14.4</v>
      </c>
      <c r="D79" s="151" t="s">
        <v>311</v>
      </c>
    </row>
    <row r="80" spans="1:7" ht="18.75">
      <c r="A80" s="4" t="s">
        <v>100</v>
      </c>
      <c r="B80" s="1" t="s">
        <v>46</v>
      </c>
      <c r="C80" s="169">
        <f>(0.25*H.+0.5*y2.)*mt*nt</f>
        <v>6.48</v>
      </c>
      <c r="D80" s="151" t="s">
        <v>388</v>
      </c>
      <c r="E80" s="52"/>
    </row>
    <row r="81" spans="1:7" ht="37.5">
      <c r="A81" s="4" t="s">
        <v>333</v>
      </c>
      <c r="B81" s="1" t="s">
        <v>37</v>
      </c>
      <c r="C81" s="169">
        <f>(P+Q+MCR.+MTrav)*(gn+a.)/r.+MComp*gn/(2*r.)+(mPTD.*a./r.)+(mDPcar*r.*a.)+mPcar*a.-FRCar/r.</f>
        <v>8187.8044000000027</v>
      </c>
      <c r="D81" s="175" t="s">
        <v>744</v>
      </c>
    </row>
    <row r="82" spans="1:7" ht="37.5">
      <c r="A82" s="4" t="s">
        <v>334</v>
      </c>
      <c r="B82" s="1" t="s">
        <v>37</v>
      </c>
      <c r="C82" s="169">
        <f>Mcwt*(gn-a.)/r.+MComp*gn/(2*r.)-(mPTD*a./r.)+MSR.*(gn-r.*a.)-(mDPcwt*r.*a.)-mPcwt*a.+FRCwt/r.</f>
        <v>5705.8814000000002</v>
      </c>
      <c r="D82" s="175" t="s">
        <v>757</v>
      </c>
    </row>
    <row r="83" spans="1:7" ht="18.75">
      <c r="A83" s="241"/>
      <c r="B83" s="242"/>
      <c r="C83" s="167">
        <f>EXP(f2.*α)</f>
        <v>1.6325713650008902</v>
      </c>
      <c r="D83" s="175" t="s">
        <v>313</v>
      </c>
      <c r="G83" s="52"/>
    </row>
    <row r="84" spans="1:7" ht="19.5" thickBot="1">
      <c r="A84" s="82">
        <f>C83-C84</f>
        <v>0.19759509647908002</v>
      </c>
      <c r="B84" s="81"/>
      <c r="C84" s="170">
        <f>C81/C82</f>
        <v>1.4349762685218101</v>
      </c>
      <c r="D84" s="176" t="s">
        <v>310</v>
      </c>
    </row>
    <row r="85" spans="1:7" ht="16.5" thickBot="1">
      <c r="A85" s="754"/>
      <c r="B85" s="754"/>
      <c r="C85" s="754"/>
      <c r="D85" s="755"/>
    </row>
    <row r="86" spans="1:7" ht="17.25" customHeight="1">
      <c r="A86" s="738" t="s">
        <v>607</v>
      </c>
      <c r="B86" s="739"/>
      <c r="C86" s="739"/>
      <c r="D86" s="740"/>
    </row>
    <row r="87" spans="1:7" ht="17.25" customHeight="1">
      <c r="A87" s="95" t="s">
        <v>398</v>
      </c>
      <c r="B87" s="1"/>
      <c r="C87" s="169"/>
      <c r="D87" s="151"/>
    </row>
    <row r="88" spans="1:7" ht="17.25">
      <c r="A88" s="4" t="s">
        <v>166</v>
      </c>
      <c r="B88" s="1" t="s">
        <v>55</v>
      </c>
      <c r="C88" s="169">
        <f>H./2</f>
        <v>14.4</v>
      </c>
      <c r="D88" s="151" t="s">
        <v>387</v>
      </c>
    </row>
    <row r="89" spans="1:7" ht="18.75">
      <c r="A89" s="4" t="s">
        <v>333</v>
      </c>
      <c r="B89" s="1" t="s">
        <v>37</v>
      </c>
      <c r="C89" s="169">
        <f>(P+MCR.+MTrav)*gn/r.+MComp*gn/(2*r.)+FRCar/r.</f>
        <v>4055.7844000000005</v>
      </c>
      <c r="D89" s="175" t="s">
        <v>745</v>
      </c>
    </row>
    <row r="90" spans="1:7" ht="18.75">
      <c r="A90" s="4" t="s">
        <v>334</v>
      </c>
      <c r="B90" s="1" t="s">
        <v>37</v>
      </c>
      <c r="C90" s="169">
        <f>MSR.*gn</f>
        <v>395.53920000000005</v>
      </c>
      <c r="D90" s="175" t="s">
        <v>727</v>
      </c>
    </row>
    <row r="91" spans="1:7" ht="18.75">
      <c r="A91" s="266"/>
      <c r="B91" s="267"/>
      <c r="C91" s="371">
        <f>EXP(f3.*α)</f>
        <v>3.6473928417204022</v>
      </c>
      <c r="D91" s="175" t="s">
        <v>314</v>
      </c>
    </row>
    <row r="92" spans="1:7" ht="18.75">
      <c r="A92" s="268">
        <f>C92-C91</f>
        <v>6.6064186641935496</v>
      </c>
      <c r="B92" s="259"/>
      <c r="C92" s="603">
        <f>C89/C90</f>
        <v>10.253811505913951</v>
      </c>
      <c r="D92" s="262" t="s">
        <v>310</v>
      </c>
    </row>
    <row r="93" spans="1:7" ht="17.25" customHeight="1">
      <c r="A93" s="14" t="s">
        <v>399</v>
      </c>
      <c r="B93" s="1"/>
      <c r="C93" s="169"/>
      <c r="D93" s="151"/>
    </row>
    <row r="94" spans="1:7" ht="17.25">
      <c r="A94" s="4" t="s">
        <v>166</v>
      </c>
      <c r="B94" s="1" t="s">
        <v>55</v>
      </c>
      <c r="C94" s="169">
        <f>-H./2</f>
        <v>-14.4</v>
      </c>
      <c r="D94" s="151" t="s">
        <v>387</v>
      </c>
    </row>
    <row r="95" spans="1:7" ht="18.75">
      <c r="A95" s="4" t="s">
        <v>333</v>
      </c>
      <c r="B95" s="1" t="s">
        <v>37</v>
      </c>
      <c r="C95" s="169">
        <f>(Mcwt+MCR.)*gn/r.+MComp*gn/(2*r.)+FRCwt/r.</f>
        <v>5637.9722000000002</v>
      </c>
      <c r="D95" s="175" t="s">
        <v>746</v>
      </c>
    </row>
    <row r="96" spans="1:7" ht="18.75">
      <c r="A96" s="4" t="s">
        <v>334</v>
      </c>
      <c r="B96" s="1" t="s">
        <v>37</v>
      </c>
      <c r="C96" s="169">
        <f>MSR.*gn</f>
        <v>395.53920000000005</v>
      </c>
      <c r="D96" s="175" t="s">
        <v>727</v>
      </c>
    </row>
    <row r="97" spans="1:4" ht="18.75">
      <c r="A97" s="85"/>
      <c r="B97" s="86"/>
      <c r="C97" s="167">
        <f>EXP(f3.*α)</f>
        <v>3.6473928417204022</v>
      </c>
      <c r="D97" s="175" t="s">
        <v>314</v>
      </c>
    </row>
    <row r="98" spans="1:4" ht="19.5" thickBot="1">
      <c r="A98" s="83">
        <f>C98-C97</f>
        <v>10.6064970382207</v>
      </c>
      <c r="B98" s="81"/>
      <c r="C98" s="170">
        <f>C95/C96</f>
        <v>14.253889879941102</v>
      </c>
      <c r="D98" s="176" t="s">
        <v>310</v>
      </c>
    </row>
    <row r="99" spans="1:4" ht="15.75" thickBot="1">
      <c r="A99" s="747"/>
      <c r="B99" s="748"/>
      <c r="C99" s="749"/>
      <c r="D99" s="750"/>
    </row>
    <row r="100" spans="1:4" ht="17.25" customHeight="1">
      <c r="A100" s="744" t="s">
        <v>101</v>
      </c>
      <c r="B100" s="745"/>
      <c r="C100" s="745"/>
      <c r="D100" s="746"/>
    </row>
    <row r="101" spans="1:4" ht="15">
      <c r="A101" s="4" t="s">
        <v>20</v>
      </c>
      <c r="B101" s="50"/>
      <c r="C101" s="163" t="str">
        <f>Groove_Type</f>
        <v>U</v>
      </c>
      <c r="D101" s="177" t="s">
        <v>88</v>
      </c>
    </row>
    <row r="102" spans="1:4" ht="17.25">
      <c r="A102" s="4" t="s">
        <v>90</v>
      </c>
      <c r="B102" s="1" t="s">
        <v>22</v>
      </c>
      <c r="C102" s="163">
        <f>γ</f>
        <v>25</v>
      </c>
      <c r="D102" s="151" t="s">
        <v>198</v>
      </c>
    </row>
    <row r="103" spans="1:4" ht="17.25">
      <c r="A103" s="4" t="s">
        <v>650</v>
      </c>
      <c r="B103" s="1" t="s">
        <v>22</v>
      </c>
      <c r="C103" s="163">
        <f>β</f>
        <v>97.2</v>
      </c>
      <c r="D103" s="151" t="s">
        <v>199</v>
      </c>
    </row>
    <row r="104" spans="1:4" ht="17.25">
      <c r="A104" s="4" t="s">
        <v>89</v>
      </c>
      <c r="B104" s="50"/>
      <c r="C104" s="163" t="str">
        <f>IF(β=0,"ندارد", "دارد")</f>
        <v>دارد</v>
      </c>
      <c r="D104" s="146"/>
    </row>
    <row r="105" spans="1:4" ht="18.75">
      <c r="A105" s="4" t="s">
        <v>59</v>
      </c>
      <c r="B105" s="1" t="s">
        <v>48</v>
      </c>
      <c r="C105" s="163">
        <f>Npr</f>
        <v>0</v>
      </c>
      <c r="D105" s="151" t="s">
        <v>291</v>
      </c>
    </row>
    <row r="106" spans="1:4" ht="18.75">
      <c r="A106" s="4" t="s">
        <v>60</v>
      </c>
      <c r="B106" s="1" t="s">
        <v>48</v>
      </c>
      <c r="C106" s="163">
        <f>IF(iPcwt&lt;=iPcar,iDPcar*Wr+iDPcwt*Wr+iPcar-Npr,iDPcar*Wr+iDPcwt*Wr+iPcwt-Npr)</f>
        <v>3</v>
      </c>
      <c r="D106" s="151" t="s">
        <v>315</v>
      </c>
    </row>
    <row r="107" spans="1:4" ht="18.75">
      <c r="A107" s="4" t="s">
        <v>226</v>
      </c>
      <c r="B107" s="1" t="s">
        <v>19</v>
      </c>
      <c r="C107" s="163">
        <f>IF(Npr+Nps=0,"-",IF(iPcar&gt;iPcwt,(iDPcar*dDPcar+iDPcwt*dDPcwt+iPcar*dPcar)/(iDPcar+iDPcwt+iPcar),(iDPcar*dDPcar+iDPcwt*dDPcwt+iPcwt*dPcwt)/(iDPcar+iDPcwt+iPcwt)))</f>
        <v>400</v>
      </c>
      <c r="D107" s="151" t="s">
        <v>301</v>
      </c>
    </row>
    <row r="108" spans="1:4" ht="18.75">
      <c r="A108" s="4" t="s">
        <v>200</v>
      </c>
      <c r="B108" s="1" t="s">
        <v>63</v>
      </c>
      <c r="C108" s="148">
        <f>IF(Npr+Nps=0,0,(Dt/Dp)^4)</f>
        <v>1</v>
      </c>
      <c r="D108" s="151" t="s">
        <v>316</v>
      </c>
    </row>
    <row r="109" spans="1:4" ht="18.75">
      <c r="A109" s="4" t="s">
        <v>461</v>
      </c>
      <c r="B109" s="1" t="s">
        <v>63</v>
      </c>
      <c r="C109" s="169">
        <f>IF(Groove_Type="V hardened",IF(EN81_="20",Wr*Neqtv50,Wr*Neqtv),Wr*Neqtu)</f>
        <v>8.2266666666666683</v>
      </c>
      <c r="D109" s="151" t="s">
        <v>317</v>
      </c>
    </row>
    <row r="110" spans="1:4" ht="18.75">
      <c r="A110" s="4" t="s">
        <v>188</v>
      </c>
      <c r="B110" s="1" t="s">
        <v>63</v>
      </c>
      <c r="C110" s="167">
        <f>Kp*(Nps+4*Npr)</f>
        <v>3</v>
      </c>
      <c r="D110" s="151" t="s">
        <v>318</v>
      </c>
    </row>
    <row r="111" spans="1:4" ht="18.75">
      <c r="A111" s="4" t="s">
        <v>192</v>
      </c>
      <c r="B111" s="1" t="s">
        <v>63</v>
      </c>
      <c r="C111" s="167">
        <f>Neqt+Neqp</f>
        <v>11.226666666666668</v>
      </c>
      <c r="D111" s="151" t="s">
        <v>319</v>
      </c>
    </row>
    <row r="112" spans="1:4" ht="37.5">
      <c r="A112" s="4" t="s">
        <v>651</v>
      </c>
      <c r="B112" s="1" t="s">
        <v>63</v>
      </c>
      <c r="C112" s="169">
        <f>IF(10^(2.6834-LOG10(695.85*10^6*Neq/(Dt/dsr)^8.567)/LOG10(77.09*(Dt/dsr)^(-2.895)))&lt;12,12,10^(2.6834-LOG10(695.85*10^6*Neq/(Dt/dsr)^8.567)/LOG10(77.09*(Dt/dsr)^(-2.895))))</f>
        <v>19.516635745597661</v>
      </c>
      <c r="D112" s="174" t="s">
        <v>320</v>
      </c>
    </row>
    <row r="113" spans="1:4" ht="17.25">
      <c r="A113" s="4" t="s">
        <v>331</v>
      </c>
      <c r="B113" s="1" t="s">
        <v>37</v>
      </c>
      <c r="C113" s="169">
        <f>((P+Q3.)*gn/r.+MComp*gn/(2*r.)+MSR.*gn)/nS</f>
        <v>2060.8847999999998</v>
      </c>
      <c r="D113" s="174"/>
    </row>
    <row r="114" spans="1:4" ht="18" thickBot="1">
      <c r="A114" s="6" t="s">
        <v>652</v>
      </c>
      <c r="B114" s="7" t="s">
        <v>63</v>
      </c>
      <c r="C114" s="171">
        <f>Fsr_min*1000/C113</f>
        <v>24.261424025253621</v>
      </c>
      <c r="D114" s="178">
        <f>Sf_cur-Sf_min</f>
        <v>4.7447882796559604</v>
      </c>
    </row>
    <row r="115" spans="1:4" ht="21" customHeight="1" thickBot="1">
      <c r="A115" s="741" t="str">
        <f>IF(Groove_Type="V","کنترل مجدد ضریب اطمینان سیم بکسل، فقط برای شیار V زیر برش دار (بدون سحتکاری) قبل از خورده و تبدیل شدن به شیار U","")</f>
        <v/>
      </c>
      <c r="B115" s="742"/>
      <c r="C115" s="742"/>
      <c r="D115" s="743"/>
    </row>
    <row r="116" spans="1:4" ht="21" customHeight="1">
      <c r="A116" s="364" t="str">
        <f>IF(Groove_Type="V","عدد معادل فلکه‌ی کششی","")</f>
        <v/>
      </c>
      <c r="B116" s="365"/>
      <c r="C116" s="366" t="str">
        <f>IF(Groove_Type="V",IF(OR(Groove_Type="V hardened",Groove_Type="V"),IF(EN81_=TRUE,Wr*Neqtv50,Wr*Neqtv),Wr*Neqtu),"")</f>
        <v/>
      </c>
      <c r="D116" s="367" t="str">
        <f>IF(Groove_Type="V","Nequiv(t) =","")</f>
        <v/>
      </c>
    </row>
    <row r="117" spans="1:4" ht="17.25">
      <c r="A117" s="4" t="str">
        <f>IF(Groove_Type="V","عدد معادل فلکه‌ها","")</f>
        <v/>
      </c>
      <c r="B117" s="1"/>
      <c r="C117" s="167" t="str">
        <f>IF(Groove_Type="V",C116+Neqp,"")</f>
        <v/>
      </c>
      <c r="D117" s="151" t="str">
        <f>IF(Groove_Type="V","Nequiv = Nequiv(t)+Nequiv(p) =","")</f>
        <v/>
      </c>
    </row>
    <row r="118" spans="1:4" ht="17.25">
      <c r="A118" s="4" t="str">
        <f>IF(Groove_Type="V","حداقل ضریب اطمینان  مورد نیاز برای سیم بکسل ها","")</f>
        <v/>
      </c>
      <c r="B118" s="1"/>
      <c r="C118" s="169" t="str">
        <f>IF(Groove_Type="V",IF(10^(2.6834-LOG10(695.85*10^6*C117/(Dt/dsr)^8.567)/LOG10(77.09*(Dt/dsr)^(-2.895)))&lt;12,12,10^(2.6834-LOG10(695.85*10^6*C117/(Dt/dsr)^8.567)/LOG10(77.09*(Dt/dsr)^(-2.895)))),"")</f>
        <v/>
      </c>
      <c r="D118" s="174" t="str">
        <f>IF(Groove_Type="V","Sf_min=10^(2.6834-(LOG10(695.85*10^6*Nequiv/ (Dt/dr)^8.567))/(LOG10(77.09*Dt/dr)^(-2.895))) =","")</f>
        <v/>
      </c>
    </row>
    <row r="119" spans="1:4" ht="21" customHeight="1" thickBot="1">
      <c r="A119" s="6" t="str">
        <f>IF(Groove_Type="V","ضریب اطمینان فعلی سیم بکسل ها","")</f>
        <v/>
      </c>
      <c r="B119" s="7"/>
      <c r="C119" s="171" t="str">
        <f>IF(Groove_Type="V",Sf_cur,"")</f>
        <v/>
      </c>
      <c r="D119" s="368" t="str">
        <f>IF(Groove_Type="V",Sf_cur-C118,"")</f>
        <v/>
      </c>
    </row>
  </sheetData>
  <sheetProtection algorithmName="SHA-512" hashValue="YiVTJmyXvVB68vctltpldKvUVUjSeJPJXt7/XdMVyJKz9OF0n6e0ovs/veF3KtuNKV3WiLKr+T7Cwdr5QR2NSA==" saltValue="UiiWGTKiHaYpzNz+NGrxYw==" spinCount="100000" sheet="1" objects="1" scenarios="1" selectLockedCells="1" selectUnlockedCells="1"/>
  <dataConsolidate/>
  <customSheetViews>
    <customSheetView guid="{0B2838C1-64E2-4766-B82E-FE301CB42C7D}" scale="120" showGridLines="0" fitToPage="1" printArea="1" topLeftCell="A62">
      <selection activeCell="C6" sqref="C6"/>
      <rowBreaks count="2" manualBreakCount="2">
        <brk id="48" max="16383" man="1"/>
        <brk id="90" max="16383" man="1"/>
      </rowBreaks>
      <pageMargins left="0.39370078740157483" right="0.39370078740157483" top="0.59055118110236227" bottom="0.59055118110236227" header="0.31496062992125984" footer="0.31496062992125984"/>
      <printOptions horizontalCentered="1"/>
      <pageSetup paperSize="9" scale="80" fitToHeight="0" orientation="portrait" r:id="rId1"/>
    </customSheetView>
    <customSheetView guid="{ADB28B25-780E-4315-A7F7-F519CAE45D94}" showGridLines="0" fitToPage="1" topLeftCell="A73">
      <selection activeCell="D138" sqref="D138"/>
      <rowBreaks count="2" manualBreakCount="2">
        <brk id="29" max="16383" man="1"/>
        <brk id="71" max="16383" man="1"/>
      </rowBreaks>
      <pageMargins left="0.39370078740157483" right="0.39370078740157483" top="0.59055118110236227" bottom="0.59055118110236227" header="0.31496062992125984" footer="0.31496062992125984"/>
      <printOptions horizontalCentered="1"/>
      <pageSetup paperSize="9" scale="80" fitToHeight="0" orientation="portrait" r:id="rId2"/>
    </customSheetView>
  </customSheetViews>
  <mergeCells count="16">
    <mergeCell ref="A115:D115"/>
    <mergeCell ref="A100:D100"/>
    <mergeCell ref="A99:D99"/>
    <mergeCell ref="A1:D1"/>
    <mergeCell ref="A19:D19"/>
    <mergeCell ref="A53:D53"/>
    <mergeCell ref="A68:D68"/>
    <mergeCell ref="A37:D37"/>
    <mergeCell ref="A52:D52"/>
    <mergeCell ref="A69:D69"/>
    <mergeCell ref="A85:D85"/>
    <mergeCell ref="A86:D86"/>
    <mergeCell ref="A62:B62"/>
    <mergeCell ref="A56:B56"/>
    <mergeCell ref="A72:B72"/>
    <mergeCell ref="A78:B78"/>
  </mergeCells>
  <conditionalFormatting sqref="C61">
    <cfRule type="cellIs" dxfId="75" priority="13" operator="greaterThan">
      <formula>$C$60</formula>
    </cfRule>
  </conditionalFormatting>
  <conditionalFormatting sqref="C51">
    <cfRule type="cellIs" dxfId="74" priority="12" operator="greaterThan">
      <formula>$C$50</formula>
    </cfRule>
  </conditionalFormatting>
  <conditionalFormatting sqref="C98">
    <cfRule type="cellIs" dxfId="73" priority="10" operator="lessThan">
      <formula>$C$97</formula>
    </cfRule>
  </conditionalFormatting>
  <conditionalFormatting sqref="C114">
    <cfRule type="cellIs" dxfId="72" priority="9" operator="lessThan">
      <formula>Sf_min</formula>
    </cfRule>
  </conditionalFormatting>
  <conditionalFormatting sqref="C45">
    <cfRule type="cellIs" dxfId="71" priority="8" operator="greaterThan">
      <formula>$C$50</formula>
    </cfRule>
  </conditionalFormatting>
  <conditionalFormatting sqref="C67">
    <cfRule type="cellIs" dxfId="70" priority="7" operator="greaterThan">
      <formula>$C$60</formula>
    </cfRule>
  </conditionalFormatting>
  <conditionalFormatting sqref="C77">
    <cfRule type="cellIs" dxfId="69" priority="6" operator="greaterThan">
      <formula>$C$60</formula>
    </cfRule>
  </conditionalFormatting>
  <conditionalFormatting sqref="C84">
    <cfRule type="cellIs" dxfId="68" priority="5" operator="greaterThan">
      <formula>$C$60</formula>
    </cfRule>
  </conditionalFormatting>
  <conditionalFormatting sqref="C92">
    <cfRule type="cellIs" dxfId="67" priority="4" operator="lessThan">
      <formula>$C$97</formula>
    </cfRule>
  </conditionalFormatting>
  <conditionalFormatting sqref="C25:C26">
    <cfRule type="expression" dxfId="66" priority="3">
      <formula>$C$25="&lt;Error&gt;"</formula>
    </cfRule>
  </conditionalFormatting>
  <conditionalFormatting sqref="C119">
    <cfRule type="cellIs" dxfId="65" priority="1" operator="lessThan">
      <formula>Sf_min</formula>
    </cfRule>
  </conditionalFormatting>
  <dataValidations count="2">
    <dataValidation showInputMessage="1" showErrorMessage="1" sqref="C102:C103"/>
    <dataValidation errorStyle="warning" operator="greaterThanOrEqual" allowBlank="1" showInputMessage="1" showErrorMessage="1" sqref="C112 C118"/>
  </dataValidations>
  <printOptions horizontalCentered="1"/>
  <pageMargins left="0.39370078740157483" right="0.39370078740157483" top="0.59055118110236227" bottom="0.59055118110236227" header="0.31496062992125984" footer="0.31496062992125984"/>
  <pageSetup paperSize="9" scale="59" fitToHeight="2" orientation="portrait" r:id="rId3"/>
  <rowBreaks count="1" manualBreakCount="1">
    <brk id="67" max="3" man="1"/>
  </rowBreak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OtherCalc">
    <tabColor rgb="FFA3FFA3"/>
    <pageSetUpPr autoPageBreaks="0" fitToPage="1"/>
  </sheetPr>
  <dimension ref="A1:E47"/>
  <sheetViews>
    <sheetView showRowColHeaders="0" rightToLeft="1" view="pageBreakPreview" topLeftCell="A8" zoomScale="110" zoomScaleNormal="100" zoomScaleSheetLayoutView="110" zoomScalePageLayoutView="140" workbookViewId="0">
      <selection activeCell="C15" sqref="C15"/>
    </sheetView>
  </sheetViews>
  <sheetFormatPr defaultColWidth="8.69921875" defaultRowHeight="21" customHeight="1"/>
  <cols>
    <col min="1" max="1" width="38.69921875" style="53" customWidth="1"/>
    <col min="2" max="2" width="7.69921875" style="55" customWidth="1"/>
    <col min="3" max="3" width="8.69921875" style="148" customWidth="1"/>
    <col min="4" max="4" width="44.8984375" style="144" bestFit="1" customWidth="1"/>
    <col min="5" max="5" width="8.69921875" style="5" customWidth="1"/>
    <col min="6" max="16384" width="8.69921875" style="5"/>
  </cols>
  <sheetData>
    <row r="1" spans="1:4" s="48" customFormat="1" ht="18.75" customHeight="1" thickBot="1">
      <c r="A1" s="136" t="s">
        <v>1</v>
      </c>
      <c r="B1" s="137" t="s">
        <v>2</v>
      </c>
      <c r="C1" s="138" t="s">
        <v>3</v>
      </c>
      <c r="D1" s="147" t="s">
        <v>4</v>
      </c>
    </row>
    <row r="2" spans="1:4" s="135" customFormat="1" ht="18">
      <c r="A2" s="139" t="s">
        <v>61</v>
      </c>
      <c r="B2" s="140"/>
      <c r="C2" s="141"/>
      <c r="D2" s="142"/>
    </row>
    <row r="3" spans="1:4" ht="18.75">
      <c r="A3" s="4" t="s">
        <v>407</v>
      </c>
      <c r="B3" s="1" t="s">
        <v>24</v>
      </c>
      <c r="C3" s="164">
        <f>P</f>
        <v>800</v>
      </c>
      <c r="D3" s="172" t="s">
        <v>25</v>
      </c>
    </row>
    <row r="4" spans="1:4" ht="18.75">
      <c r="A4" s="4" t="s">
        <v>62</v>
      </c>
      <c r="B4" s="1" t="s">
        <v>24</v>
      </c>
      <c r="C4" s="164">
        <f>Q</f>
        <v>800</v>
      </c>
      <c r="D4" s="172" t="s">
        <v>26</v>
      </c>
    </row>
    <row r="5" spans="1:4" ht="18.75">
      <c r="A5" s="4" t="s">
        <v>653</v>
      </c>
      <c r="B5" s="1" t="s">
        <v>7</v>
      </c>
      <c r="C5" s="164">
        <f xml:space="preserve"> Passengers_No.</f>
        <v>10</v>
      </c>
      <c r="D5" s="172" t="s">
        <v>197</v>
      </c>
    </row>
    <row r="6" spans="1:4" ht="20.25">
      <c r="A6" s="4" t="s">
        <v>27</v>
      </c>
      <c r="B6" s="1" t="s">
        <v>19</v>
      </c>
      <c r="C6" s="164">
        <f>DX</f>
        <v>1350</v>
      </c>
      <c r="D6" s="172" t="s">
        <v>237</v>
      </c>
    </row>
    <row r="7" spans="1:4" ht="20.25">
      <c r="A7" s="4" t="s">
        <v>28</v>
      </c>
      <c r="B7" s="1" t="s">
        <v>19</v>
      </c>
      <c r="C7" s="164">
        <f>DY</f>
        <v>1400</v>
      </c>
      <c r="D7" s="172" t="s">
        <v>238</v>
      </c>
    </row>
    <row r="8" spans="1:4" ht="18.75">
      <c r="A8" s="4" t="s">
        <v>8</v>
      </c>
      <c r="B8" s="1"/>
      <c r="C8" s="164">
        <f>Stops</f>
        <v>10</v>
      </c>
      <c r="D8" s="172" t="s">
        <v>170</v>
      </c>
    </row>
    <row r="9" spans="1:4" thickBot="1">
      <c r="A9" s="6" t="s">
        <v>69</v>
      </c>
      <c r="B9" s="7" t="s">
        <v>324</v>
      </c>
      <c r="C9" s="181">
        <v>9.81</v>
      </c>
      <c r="D9" s="188" t="s">
        <v>239</v>
      </c>
    </row>
    <row r="10" spans="1:4" ht="10.5" customHeight="1" thickBot="1">
      <c r="A10" s="54"/>
      <c r="B10" s="48"/>
      <c r="C10" s="56"/>
      <c r="D10" s="143"/>
    </row>
    <row r="11" spans="1:4" ht="20.25" customHeight="1">
      <c r="A11" s="757" t="s">
        <v>654</v>
      </c>
      <c r="B11" s="758"/>
      <c r="C11" s="758"/>
      <c r="D11" s="759"/>
    </row>
    <row r="12" spans="1:4" ht="20.25" customHeight="1">
      <c r="A12" s="4" t="s">
        <v>912</v>
      </c>
      <c r="B12" s="1" t="s">
        <v>37</v>
      </c>
      <c r="C12" s="164">
        <f>4*gn*(P+Q)</f>
        <v>62784</v>
      </c>
      <c r="D12" s="172" t="s">
        <v>295</v>
      </c>
    </row>
    <row r="13" spans="1:4" ht="20.25">
      <c r="A13" s="4" t="s">
        <v>913</v>
      </c>
      <c r="B13" s="1" t="s">
        <v>37</v>
      </c>
      <c r="C13" s="164">
        <f>4*gn*(P+q.*Q)</f>
        <v>44576.639999999999</v>
      </c>
      <c r="D13" s="172" t="s">
        <v>294</v>
      </c>
    </row>
    <row r="14" spans="1:4" ht="20.25" customHeight="1">
      <c r="A14" s="4" t="s">
        <v>102</v>
      </c>
      <c r="B14" s="1" t="s">
        <v>24</v>
      </c>
      <c r="C14" s="164">
        <v>1500</v>
      </c>
      <c r="D14" s="172" t="s">
        <v>209</v>
      </c>
    </row>
    <row r="15" spans="1:4" ht="20.25" customHeight="1">
      <c r="A15" s="4" t="s">
        <v>639</v>
      </c>
      <c r="B15" s="1" t="s">
        <v>24</v>
      </c>
      <c r="C15" s="164">
        <f>Mgb</f>
        <v>600</v>
      </c>
      <c r="D15" s="172" t="s">
        <v>296</v>
      </c>
    </row>
    <row r="16" spans="1:4" ht="20.25" customHeight="1">
      <c r="A16" s="4" t="s">
        <v>655</v>
      </c>
      <c r="B16" s="1" t="s">
        <v>37</v>
      </c>
      <c r="C16" s="164">
        <f>((P+Q+Mcwt+MCR.+MComp+r.*MSR.)*K2.+Mgb)*gn</f>
        <v>39081.627359999999</v>
      </c>
      <c r="D16" s="172" t="s">
        <v>459</v>
      </c>
    </row>
    <row r="17" spans="1:5" ht="20.25" customHeight="1" thickBot="1">
      <c r="A17" s="6" t="s">
        <v>914</v>
      </c>
      <c r="B17" s="7" t="s">
        <v>37</v>
      </c>
      <c r="C17" s="182">
        <f>H.*gn*mg+Fk+K3.*Maux</f>
        <v>19171.094400000002</v>
      </c>
      <c r="D17" s="188" t="s">
        <v>921</v>
      </c>
    </row>
    <row r="18" spans="1:5" ht="10.5" customHeight="1" thickBot="1">
      <c r="A18" s="54"/>
      <c r="B18" s="48"/>
      <c r="C18" s="56"/>
      <c r="D18" s="143"/>
    </row>
    <row r="19" spans="1:5" ht="18">
      <c r="A19" s="757" t="s">
        <v>656</v>
      </c>
      <c r="B19" s="758"/>
      <c r="C19" s="758"/>
      <c r="D19" s="759"/>
    </row>
    <row r="20" spans="1:5" ht="18.75" customHeight="1">
      <c r="A20" s="4" t="s">
        <v>218</v>
      </c>
      <c r="B20" s="1" t="s">
        <v>63</v>
      </c>
      <c r="C20" s="183">
        <f>VLOOKUP(Guide_Shoe_Type,Guide_Shoe_Table,2,FALSE)</f>
        <v>0.9</v>
      </c>
      <c r="D20" s="416" t="s">
        <v>371</v>
      </c>
    </row>
    <row r="21" spans="1:5" ht="18.75" customHeight="1">
      <c r="A21" s="4" t="s">
        <v>708</v>
      </c>
      <c r="B21" s="1" t="s">
        <v>63</v>
      </c>
      <c r="C21" s="183">
        <f>1-(iDPcar+iDPcwt+iPcar+iPcwt)*1%</f>
        <v>0.96</v>
      </c>
      <c r="D21" s="416" t="s">
        <v>709</v>
      </c>
    </row>
    <row r="22" spans="1:5" ht="18.75" customHeight="1">
      <c r="A22" s="4" t="s">
        <v>182</v>
      </c>
      <c r="B22" s="1" t="s">
        <v>104</v>
      </c>
      <c r="C22" s="184">
        <f>Wout</f>
        <v>11</v>
      </c>
      <c r="D22" s="417" t="s">
        <v>297</v>
      </c>
    </row>
    <row r="23" spans="1:5" ht="18.75" customHeight="1">
      <c r="A23" s="4" t="s">
        <v>103</v>
      </c>
      <c r="B23" s="1" t="s">
        <v>24</v>
      </c>
      <c r="C23" s="164">
        <f>Mcwt</f>
        <v>1139.24</v>
      </c>
      <c r="D23" s="416" t="s">
        <v>706</v>
      </c>
    </row>
    <row r="24" spans="1:5" ht="18.75" customHeight="1">
      <c r="A24" s="4" t="s">
        <v>711</v>
      </c>
      <c r="B24" s="1" t="s">
        <v>24</v>
      </c>
      <c r="C24" s="164">
        <f>Wr*((P+Q+Mcwt+MCR.+MComp)/r.+MSR.)</f>
        <v>1409.9399999999998</v>
      </c>
      <c r="D24" s="172" t="s">
        <v>712</v>
      </c>
    </row>
    <row r="25" spans="1:5" ht="18.75" customHeight="1">
      <c r="A25" s="4"/>
      <c r="B25" s="1"/>
      <c r="C25" s="184"/>
      <c r="D25" s="189" t="str">
        <f>IF(C24&gt;CsMAX,"&lt;-Error-&gt; Cs &gt; Csmax","&lt;-OK-&gt; Cs ≤ Csmax" )</f>
        <v>&lt;-OK-&gt; Cs ≤ Csmax</v>
      </c>
    </row>
    <row r="26" spans="1:5" ht="18.75" customHeight="1">
      <c r="A26" s="4" t="s">
        <v>730</v>
      </c>
      <c r="B26" s="1" t="s">
        <v>24</v>
      </c>
      <c r="C26" s="164">
        <f>((P+Q-Mcwt-MCR.)/r.+MSR.)/ηP</f>
        <v>281.97916666666669</v>
      </c>
      <c r="D26" s="172" t="s">
        <v>728</v>
      </c>
      <c r="E26" s="604">
        <f>MAX(C26:C29)</f>
        <v>281.97916666666669</v>
      </c>
    </row>
    <row r="27" spans="1:5" ht="18.75" customHeight="1">
      <c r="A27" s="4" t="s">
        <v>731</v>
      </c>
      <c r="B27" s="1" t="s">
        <v>24</v>
      </c>
      <c r="C27" s="164">
        <f>((P+Q+MTrav-Mcwt+MCR.)/r.-MSR.)/ηP</f>
        <v>201.35416666666669</v>
      </c>
      <c r="D27" s="172" t="s">
        <v>729</v>
      </c>
    </row>
    <row r="28" spans="1:5" ht="18.75" customHeight="1">
      <c r="A28" s="4" t="s">
        <v>732</v>
      </c>
      <c r="B28" s="1" t="s">
        <v>24</v>
      </c>
      <c r="C28" s="164">
        <f>(-(P-Mcwt-MCR.)/r.-MSR.)/ηP</f>
        <v>134.68750000000003</v>
      </c>
      <c r="D28" s="172" t="s">
        <v>750</v>
      </c>
    </row>
    <row r="29" spans="1:5" ht="18.75" customHeight="1">
      <c r="A29" s="4" t="s">
        <v>733</v>
      </c>
      <c r="B29" s="1" t="s">
        <v>24</v>
      </c>
      <c r="C29" s="164">
        <f>(-(P+MTrav-Mcwt+MCR.)/r.+MSR.)/ηP</f>
        <v>215.3125</v>
      </c>
      <c r="D29" s="172" t="s">
        <v>751</v>
      </c>
    </row>
    <row r="30" spans="1:5" ht="18.75" customHeight="1">
      <c r="A30" s="4" t="s">
        <v>734</v>
      </c>
      <c r="B30" s="1" t="s">
        <v>104</v>
      </c>
      <c r="C30" s="184">
        <f>(Q/2+ABS(Q/2-q.*Q))*VCar*gn/1000/ηG/ηs/ηP</f>
        <v>8.4293333333333358</v>
      </c>
      <c r="D30" s="172" t="s">
        <v>752</v>
      </c>
      <c r="E30" s="184"/>
    </row>
    <row r="31" spans="1:5" ht="18.75" customHeight="1">
      <c r="A31" s="4"/>
      <c r="B31" s="1"/>
      <c r="C31" s="184"/>
      <c r="D31" s="189" t="str">
        <f>IF(C30&gt;Wout,"&lt;-Error-&gt; Wmid &gt; Wout","&lt;-OK-&gt; Wmid ≤ Wout" )</f>
        <v>&lt;-OK-&gt; Wmid ≤ Wout</v>
      </c>
    </row>
    <row r="32" spans="1:5" ht="18.75" customHeight="1">
      <c r="A32" s="4" t="s">
        <v>735</v>
      </c>
      <c r="B32" s="1" t="s">
        <v>104</v>
      </c>
      <c r="C32" s="184">
        <f>(qm*Vsr*gn/1000/ηG/ηs)</f>
        <v>9.8354333333333344</v>
      </c>
      <c r="D32" s="172" t="s">
        <v>748</v>
      </c>
    </row>
    <row r="33" spans="1:4" ht="18.75" customHeight="1">
      <c r="A33" s="4"/>
      <c r="B33" s="1"/>
      <c r="C33" s="184"/>
      <c r="D33" s="189" t="str">
        <f>IF(C32&gt;1.2*Wout,"&lt;-Error-&gt; Wmax &gt; 1.2*Wout","&lt;-OK-&gt; Wmax ≤ 1.2*Wout" )</f>
        <v>&lt;-OK-&gt; Wmax ≤ 1.2*Wout</v>
      </c>
    </row>
    <row r="34" spans="1:4" ht="10.9" customHeight="1" thickBot="1">
      <c r="A34" s="54"/>
      <c r="B34" s="48"/>
      <c r="C34" s="56"/>
      <c r="D34" s="143"/>
    </row>
    <row r="35" spans="1:4" ht="18.75" customHeight="1">
      <c r="A35" s="757" t="s">
        <v>176</v>
      </c>
      <c r="B35" s="758"/>
      <c r="C35" s="758"/>
      <c r="D35" s="759"/>
    </row>
    <row r="36" spans="1:4" ht="20.25">
      <c r="A36" s="4" t="s">
        <v>175</v>
      </c>
      <c r="B36" s="1" t="s">
        <v>293</v>
      </c>
      <c r="C36" s="185">
        <f>A1.</f>
        <v>5.3999999999999999E-2</v>
      </c>
      <c r="D36" s="172" t="s">
        <v>489</v>
      </c>
    </row>
    <row r="37" spans="1:4" ht="18.75" customHeight="1">
      <c r="A37" s="4" t="s">
        <v>177</v>
      </c>
      <c r="B37" s="1" t="s">
        <v>293</v>
      </c>
      <c r="C37" s="186">
        <f>A2.</f>
        <v>0.02</v>
      </c>
      <c r="D37" s="172" t="s">
        <v>490</v>
      </c>
    </row>
    <row r="38" spans="1:4" ht="18.75" customHeight="1">
      <c r="A38" s="4" t="s">
        <v>178</v>
      </c>
      <c r="B38" s="1" t="s">
        <v>293</v>
      </c>
      <c r="C38" s="185">
        <f>ROUND(DX*DY/1000000,3)</f>
        <v>1.89</v>
      </c>
      <c r="D38" s="172" t="s">
        <v>298</v>
      </c>
    </row>
    <row r="39" spans="1:4" ht="18.75" customHeight="1">
      <c r="A39" s="4" t="s">
        <v>179</v>
      </c>
      <c r="B39" s="1" t="s">
        <v>293</v>
      </c>
      <c r="C39" s="185">
        <f>Atotal</f>
        <v>1.964</v>
      </c>
      <c r="D39" s="172" t="s">
        <v>299</v>
      </c>
    </row>
    <row r="40" spans="1:4" ht="18.75" customHeight="1">
      <c r="A40" s="4" t="s">
        <v>181</v>
      </c>
      <c r="B40" s="1" t="s">
        <v>293</v>
      </c>
      <c r="C40" s="185">
        <f>IF(Passengers_No.&gt;20,3.13+(Passengers_No.-20)*0.115,VLOOKUP(Passengers_No.,Min_Car_Area,2))</f>
        <v>1.73</v>
      </c>
      <c r="D40" s="190">
        <f>Atotal-Amin</f>
        <v>0.23399999999999999</v>
      </c>
    </row>
    <row r="41" spans="1:4" ht="18.75" customHeight="1" thickBot="1">
      <c r="A41" s="6" t="s">
        <v>180</v>
      </c>
      <c r="B41" s="7" t="s">
        <v>293</v>
      </c>
      <c r="C41" s="187">
        <f>IF(Q&gt;2500, 5+(Q-2500)/100*0.16,VLOOKUP(Q,Max_Car_Area,2)+(VLOOKUP(INDEX(loads,MATCH(Q,loads,1)+1),Max_Car_Area,2)-VLOOKUP(Q,Max_Car_Area,2))*(Q-INDEX(loads,MATCH(Q,loads,1)))/(INDEX(loads,MATCH(Q,loads,1)+1)-INDEX(loads,MATCH(Q,loads,1))))</f>
        <v>2</v>
      </c>
      <c r="D41" s="191">
        <f>Amax-Atotal</f>
        <v>3.6000000000000032E-2</v>
      </c>
    </row>
    <row r="42" spans="1:4" ht="18.75" customHeight="1">
      <c r="C42" s="374"/>
    </row>
    <row r="43" spans="1:4" ht="18.75" customHeight="1">
      <c r="C43" s="374"/>
      <c r="D43" s="145"/>
    </row>
    <row r="44" spans="1:4" ht="21" customHeight="1">
      <c r="C44" s="374"/>
      <c r="D44" s="145"/>
    </row>
    <row r="45" spans="1:4" ht="21" customHeight="1">
      <c r="C45" s="374"/>
      <c r="D45" s="145"/>
    </row>
    <row r="46" spans="1:4" ht="21" customHeight="1">
      <c r="C46" s="374"/>
      <c r="D46" s="145"/>
    </row>
    <row r="47" spans="1:4" ht="21" customHeight="1">
      <c r="C47" s="374"/>
    </row>
  </sheetData>
  <sheetProtection algorithmName="SHA-512" hashValue="Wv0FXBcbPsgq9nzZKrLjSe7CQm48evQPdBBIlGKppSGBJqaug+tA2dbBFiwfDpbzmbj3mSVz9GP7J/89zAURqQ==" saltValue="eP8FfPtlzZwoYSmi/TArEg==" spinCount="100000" sheet="1" objects="1" scenarios="1" selectLockedCells="1" selectUnlockedCells="1"/>
  <dataConsolidate/>
  <customSheetViews>
    <customSheetView guid="{0B2838C1-64E2-4766-B82E-FE301CB42C7D}" scale="110" showGridLines="0" fitToPage="1" topLeftCell="A13">
      <selection activeCell="C32" sqref="C32"/>
      <pageMargins left="0.5" right="0.5" top="0.75" bottom="0.5" header="0.3" footer="0.3"/>
      <pageSetup paperSize="9" scale="51" fitToHeight="0" orientation="portrait" r:id="rId1"/>
    </customSheetView>
    <customSheetView guid="{ADB28B25-780E-4315-A7F7-F519CAE45D94}" showGridLines="0" fitToPage="1" printArea="1" view="pageBreakPreview" topLeftCell="A24">
      <selection activeCell="C35" sqref="C35"/>
      <pageMargins left="0.5" right="0.5" top="0.75" bottom="0.5" header="0.3" footer="0.3"/>
      <pageSetup paperSize="9" scale="73" fitToHeight="0" orientation="portrait" r:id="rId2"/>
    </customSheetView>
  </customSheetViews>
  <mergeCells count="3">
    <mergeCell ref="A11:D11"/>
    <mergeCell ref="A19:D19"/>
    <mergeCell ref="A35:D35"/>
  </mergeCells>
  <conditionalFormatting sqref="C30 D31">
    <cfRule type="expression" dxfId="64" priority="10">
      <formula>$C$30&gt;Wout</formula>
    </cfRule>
  </conditionalFormatting>
  <conditionalFormatting sqref="C39">
    <cfRule type="cellIs" dxfId="63" priority="8" operator="notBetween">
      <formula>Amin</formula>
      <formula>Amax</formula>
    </cfRule>
  </conditionalFormatting>
  <conditionalFormatting sqref="C32 D33">
    <cfRule type="expression" dxfId="62" priority="7">
      <formula>$C$32&gt;Wout*1.2</formula>
    </cfRule>
  </conditionalFormatting>
  <conditionalFormatting sqref="C24 D25">
    <cfRule type="expression" dxfId="61" priority="6">
      <formula>$C$24&gt;CsMAX</formula>
    </cfRule>
  </conditionalFormatting>
  <conditionalFormatting sqref="E30">
    <cfRule type="expression" dxfId="60" priority="1">
      <formula>$C$30&gt;Wout</formula>
    </cfRule>
  </conditionalFormatting>
  <dataValidations disablePrompts="1" count="1">
    <dataValidation type="list" allowBlank="1" promptTitle="تعيين تعداد طبقات" prompt="از ليست مقابل طبقات مورد نظر را وارد كنيد" sqref="B8:B9">
      <formula1>"1,2,3,4,5,6,7,8,9,10,11,12,13,14,15,16,17,18,19,20,21,22,23,24,25"</formula1>
    </dataValidation>
  </dataValidations>
  <pageMargins left="0.51181102362204722" right="0.51181102362204722" top="0.74803149606299213" bottom="0.51181102362204722" header="0.31496062992125984" footer="0.31496062992125984"/>
  <pageSetup paperSize="9" scale="73" fitToHeight="0" orientation="portrait" r:id="rId3"/>
  <drawing r:id="rId4"/>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Omega"/>
  <dimension ref="A1:Y40"/>
  <sheetViews>
    <sheetView showGridLines="0" showRowColHeaders="0" topLeftCell="A18" workbookViewId="0">
      <selection activeCell="A28" sqref="A28"/>
    </sheetView>
  </sheetViews>
  <sheetFormatPr defaultColWidth="8.69921875" defaultRowHeight="12.75"/>
  <cols>
    <col min="1" max="25" width="5.296875" style="18" customWidth="1"/>
    <col min="26" max="16384" width="8.69921875" style="18"/>
  </cols>
  <sheetData>
    <row r="1" spans="1:25" ht="13.5" thickBot="1">
      <c r="A1" s="760" t="s">
        <v>383</v>
      </c>
      <c r="B1" s="761"/>
      <c r="C1" s="761"/>
      <c r="D1" s="761"/>
      <c r="E1" s="761"/>
      <c r="F1" s="761"/>
      <c r="G1" s="761"/>
      <c r="H1" s="761"/>
      <c r="I1" s="761"/>
      <c r="J1" s="761"/>
      <c r="K1" s="761"/>
      <c r="L1" s="762"/>
      <c r="N1" s="763" t="s">
        <v>384</v>
      </c>
      <c r="O1" s="764"/>
      <c r="P1" s="764"/>
      <c r="Q1" s="764"/>
      <c r="R1" s="764"/>
      <c r="S1" s="764"/>
      <c r="T1" s="764"/>
      <c r="U1" s="764"/>
      <c r="V1" s="764"/>
      <c r="W1" s="764"/>
      <c r="X1" s="764"/>
      <c r="Y1" s="765"/>
    </row>
    <row r="2" spans="1:25">
      <c r="A2" s="243" t="s">
        <v>385</v>
      </c>
      <c r="B2" s="244">
        <v>0</v>
      </c>
      <c r="C2" s="244">
        <v>1</v>
      </c>
      <c r="D2" s="244">
        <v>2</v>
      </c>
      <c r="E2" s="244">
        <v>3</v>
      </c>
      <c r="F2" s="244">
        <v>4</v>
      </c>
      <c r="G2" s="244">
        <v>5</v>
      </c>
      <c r="H2" s="244">
        <v>6</v>
      </c>
      <c r="I2" s="244">
        <v>7</v>
      </c>
      <c r="J2" s="244">
        <v>8</v>
      </c>
      <c r="K2" s="244">
        <v>9</v>
      </c>
      <c r="L2" s="245" t="s">
        <v>385</v>
      </c>
      <c r="N2" s="246" t="s">
        <v>385</v>
      </c>
      <c r="O2" s="247">
        <v>0</v>
      </c>
      <c r="P2" s="247">
        <v>1</v>
      </c>
      <c r="Q2" s="247">
        <v>2</v>
      </c>
      <c r="R2" s="247">
        <v>3</v>
      </c>
      <c r="S2" s="247">
        <v>4</v>
      </c>
      <c r="T2" s="247">
        <v>5</v>
      </c>
      <c r="U2" s="247">
        <v>6</v>
      </c>
      <c r="V2" s="247">
        <v>7</v>
      </c>
      <c r="W2" s="247">
        <v>8</v>
      </c>
      <c r="X2" s="247">
        <v>9</v>
      </c>
      <c r="Y2" s="248" t="s">
        <v>385</v>
      </c>
    </row>
    <row r="3" spans="1:25">
      <c r="A3" s="249">
        <v>20</v>
      </c>
      <c r="B3" s="250">
        <v>1.04</v>
      </c>
      <c r="C3" s="250">
        <v>1.04</v>
      </c>
      <c r="D3" s="250">
        <v>1.04</v>
      </c>
      <c r="E3" s="250">
        <v>1.05</v>
      </c>
      <c r="F3" s="250">
        <v>1.05</v>
      </c>
      <c r="G3" s="250">
        <v>1.06</v>
      </c>
      <c r="H3" s="250">
        <v>1.06</v>
      </c>
      <c r="I3" s="250">
        <v>1.07</v>
      </c>
      <c r="J3" s="250">
        <v>1.07</v>
      </c>
      <c r="K3" s="250">
        <v>1.08</v>
      </c>
      <c r="L3" s="251">
        <v>20</v>
      </c>
      <c r="N3" s="249">
        <v>20</v>
      </c>
      <c r="O3" s="250">
        <v>1.06</v>
      </c>
      <c r="P3" s="250">
        <v>1.06</v>
      </c>
      <c r="Q3" s="250">
        <v>1.07</v>
      </c>
      <c r="R3" s="250">
        <v>1.07</v>
      </c>
      <c r="S3" s="250">
        <v>1.08</v>
      </c>
      <c r="T3" s="250">
        <v>1.08</v>
      </c>
      <c r="U3" s="250">
        <v>1.0900000000000001</v>
      </c>
      <c r="V3" s="250">
        <v>1.0900000000000001</v>
      </c>
      <c r="W3" s="250">
        <v>1.1000000000000001</v>
      </c>
      <c r="X3" s="250">
        <v>1.1100000000000001</v>
      </c>
      <c r="Y3" s="251">
        <v>20</v>
      </c>
    </row>
    <row r="4" spans="1:25">
      <c r="A4" s="249">
        <v>30</v>
      </c>
      <c r="B4" s="250">
        <v>1.08</v>
      </c>
      <c r="C4" s="250">
        <v>1.0900000000000001</v>
      </c>
      <c r="D4" s="250">
        <v>1.0900000000000001</v>
      </c>
      <c r="E4" s="250">
        <v>1.1000000000000001</v>
      </c>
      <c r="F4" s="250">
        <v>1.1000000000000001</v>
      </c>
      <c r="G4" s="250">
        <v>1.1100000000000001</v>
      </c>
      <c r="H4" s="250">
        <v>1.1100000000000001</v>
      </c>
      <c r="I4" s="250">
        <v>1.1200000000000001</v>
      </c>
      <c r="J4" s="250">
        <v>1.1299999999999999</v>
      </c>
      <c r="K4" s="250">
        <v>1.1299999999999999</v>
      </c>
      <c r="L4" s="251">
        <v>30</v>
      </c>
      <c r="N4" s="249">
        <v>30</v>
      </c>
      <c r="O4" s="250">
        <v>1.1100000000000001</v>
      </c>
      <c r="P4" s="250">
        <v>1.1200000000000001</v>
      </c>
      <c r="Q4" s="250">
        <v>1.1200000000000001</v>
      </c>
      <c r="R4" s="250">
        <v>1.1299999999999999</v>
      </c>
      <c r="S4" s="250">
        <v>1.1399999999999999</v>
      </c>
      <c r="T4" s="250">
        <v>1.1499999999999999</v>
      </c>
      <c r="U4" s="250">
        <v>1.1499999999999999</v>
      </c>
      <c r="V4" s="250">
        <v>1.1599999999999999</v>
      </c>
      <c r="W4" s="250">
        <v>1.17</v>
      </c>
      <c r="X4" s="250">
        <v>1.18</v>
      </c>
      <c r="Y4" s="251">
        <v>30</v>
      </c>
    </row>
    <row r="5" spans="1:25">
      <c r="A5" s="249">
        <v>40</v>
      </c>
      <c r="B5" s="250">
        <v>1.1399999999999999</v>
      </c>
      <c r="C5" s="250">
        <v>1.1399999999999999</v>
      </c>
      <c r="D5" s="250">
        <v>1.1499999999999999</v>
      </c>
      <c r="E5" s="250">
        <v>1.1599999999999999</v>
      </c>
      <c r="F5" s="250">
        <v>1.1599999999999999</v>
      </c>
      <c r="G5" s="250">
        <v>1.17</v>
      </c>
      <c r="H5" s="250">
        <v>1.18</v>
      </c>
      <c r="I5" s="250">
        <v>1.19</v>
      </c>
      <c r="J5" s="250">
        <v>1.19</v>
      </c>
      <c r="K5" s="250">
        <v>1.2</v>
      </c>
      <c r="L5" s="251">
        <v>40</v>
      </c>
      <c r="N5" s="249">
        <v>40</v>
      </c>
      <c r="O5" s="250">
        <v>1.19</v>
      </c>
      <c r="P5" s="250">
        <v>1.19</v>
      </c>
      <c r="Q5" s="250">
        <v>1.2</v>
      </c>
      <c r="R5" s="250">
        <v>1.21</v>
      </c>
      <c r="S5" s="250">
        <v>1.22</v>
      </c>
      <c r="T5" s="250">
        <v>1.23</v>
      </c>
      <c r="U5" s="250">
        <v>1.24</v>
      </c>
      <c r="V5" s="250">
        <v>1.25</v>
      </c>
      <c r="W5" s="250">
        <v>1.26</v>
      </c>
      <c r="X5" s="250">
        <v>1.27</v>
      </c>
      <c r="Y5" s="251">
        <v>40</v>
      </c>
    </row>
    <row r="6" spans="1:25">
      <c r="A6" s="249">
        <v>50</v>
      </c>
      <c r="B6" s="250">
        <v>1.21</v>
      </c>
      <c r="C6" s="250">
        <v>1.22</v>
      </c>
      <c r="D6" s="250">
        <v>1.23</v>
      </c>
      <c r="E6" s="250">
        <v>1.23</v>
      </c>
      <c r="F6" s="250">
        <v>1.24</v>
      </c>
      <c r="G6" s="250">
        <v>1.25</v>
      </c>
      <c r="H6" s="250">
        <v>1.26</v>
      </c>
      <c r="I6" s="250">
        <v>1.27</v>
      </c>
      <c r="J6" s="250">
        <v>1.28</v>
      </c>
      <c r="K6" s="250">
        <v>1.29</v>
      </c>
      <c r="L6" s="251">
        <v>50</v>
      </c>
      <c r="N6" s="249">
        <v>50</v>
      </c>
      <c r="O6" s="250">
        <v>1.28</v>
      </c>
      <c r="P6" s="250">
        <v>1.3</v>
      </c>
      <c r="Q6" s="250">
        <v>1.31</v>
      </c>
      <c r="R6" s="250">
        <v>1.32</v>
      </c>
      <c r="S6" s="250">
        <v>1.33</v>
      </c>
      <c r="T6" s="250">
        <v>1.35</v>
      </c>
      <c r="U6" s="250">
        <v>1.36</v>
      </c>
      <c r="V6" s="250">
        <v>1.37</v>
      </c>
      <c r="W6" s="250">
        <v>1.39</v>
      </c>
      <c r="X6" s="250">
        <v>1.4</v>
      </c>
      <c r="Y6" s="251">
        <v>50</v>
      </c>
    </row>
    <row r="7" spans="1:25">
      <c r="A7" s="249">
        <v>60</v>
      </c>
      <c r="B7" s="250">
        <v>1.3</v>
      </c>
      <c r="C7" s="250">
        <v>1.31</v>
      </c>
      <c r="D7" s="250">
        <v>1.32</v>
      </c>
      <c r="E7" s="250">
        <v>1.33</v>
      </c>
      <c r="F7" s="250">
        <v>1.34</v>
      </c>
      <c r="G7" s="250">
        <v>1.35</v>
      </c>
      <c r="H7" s="250">
        <v>1.36</v>
      </c>
      <c r="I7" s="250">
        <v>1.37</v>
      </c>
      <c r="J7" s="250">
        <v>1.39</v>
      </c>
      <c r="K7" s="250">
        <v>1.4</v>
      </c>
      <c r="L7" s="251">
        <v>60</v>
      </c>
      <c r="N7" s="249">
        <v>60</v>
      </c>
      <c r="O7" s="250">
        <v>1.41</v>
      </c>
      <c r="P7" s="250">
        <v>1.43</v>
      </c>
      <c r="Q7" s="250">
        <v>1.44</v>
      </c>
      <c r="R7" s="250">
        <v>1.46</v>
      </c>
      <c r="S7" s="250">
        <v>1.48</v>
      </c>
      <c r="T7" s="250">
        <v>1.49</v>
      </c>
      <c r="U7" s="250">
        <v>1.51</v>
      </c>
      <c r="V7" s="250">
        <v>1.53</v>
      </c>
      <c r="W7" s="250">
        <v>1.54</v>
      </c>
      <c r="X7" s="250">
        <v>1.56</v>
      </c>
      <c r="Y7" s="251">
        <v>60</v>
      </c>
    </row>
    <row r="8" spans="1:25">
      <c r="A8" s="249">
        <v>70</v>
      </c>
      <c r="B8" s="250">
        <v>1.41</v>
      </c>
      <c r="C8" s="250">
        <v>1.42</v>
      </c>
      <c r="D8" s="250">
        <v>1.44</v>
      </c>
      <c r="E8" s="250">
        <v>1.45</v>
      </c>
      <c r="F8" s="250">
        <v>1.46</v>
      </c>
      <c r="G8" s="250">
        <v>1.48</v>
      </c>
      <c r="H8" s="250">
        <v>1.49</v>
      </c>
      <c r="I8" s="250">
        <v>1.5</v>
      </c>
      <c r="J8" s="250">
        <v>1.52</v>
      </c>
      <c r="K8" s="250">
        <v>1.53</v>
      </c>
      <c r="L8" s="251">
        <v>70</v>
      </c>
      <c r="N8" s="249">
        <v>70</v>
      </c>
      <c r="O8" s="250">
        <v>1.58</v>
      </c>
      <c r="P8" s="250">
        <v>1.6</v>
      </c>
      <c r="Q8" s="250">
        <v>1.62</v>
      </c>
      <c r="R8" s="250">
        <v>1.64</v>
      </c>
      <c r="S8" s="250">
        <v>1.66</v>
      </c>
      <c r="T8" s="250">
        <v>1.68</v>
      </c>
      <c r="U8" s="250">
        <v>1.7</v>
      </c>
      <c r="V8" s="250">
        <v>1.72</v>
      </c>
      <c r="W8" s="250">
        <v>1.74</v>
      </c>
      <c r="X8" s="250">
        <v>1.77</v>
      </c>
      <c r="Y8" s="251">
        <v>70</v>
      </c>
    </row>
    <row r="9" spans="1:25">
      <c r="A9" s="249">
        <v>80</v>
      </c>
      <c r="B9" s="250">
        <v>1.55</v>
      </c>
      <c r="C9" s="250">
        <v>1.56</v>
      </c>
      <c r="D9" s="250">
        <v>1.58</v>
      </c>
      <c r="E9" s="250">
        <v>1.59</v>
      </c>
      <c r="F9" s="250">
        <v>1.61</v>
      </c>
      <c r="G9" s="250">
        <v>1.62</v>
      </c>
      <c r="H9" s="250">
        <v>1.64</v>
      </c>
      <c r="I9" s="250">
        <v>1.66</v>
      </c>
      <c r="J9" s="250">
        <v>1.68</v>
      </c>
      <c r="K9" s="250">
        <v>1.69</v>
      </c>
      <c r="L9" s="251">
        <v>80</v>
      </c>
      <c r="N9" s="249">
        <v>80</v>
      </c>
      <c r="O9" s="250">
        <v>1.79</v>
      </c>
      <c r="P9" s="250">
        <v>1.81</v>
      </c>
      <c r="Q9" s="250">
        <v>1.83</v>
      </c>
      <c r="R9" s="250">
        <v>1.86</v>
      </c>
      <c r="S9" s="250">
        <v>1.88</v>
      </c>
      <c r="T9" s="250">
        <v>1.91</v>
      </c>
      <c r="U9" s="250">
        <v>1.93</v>
      </c>
      <c r="V9" s="250">
        <v>1.95</v>
      </c>
      <c r="W9" s="250">
        <v>1.98</v>
      </c>
      <c r="X9" s="250">
        <v>2.0099999999999998</v>
      </c>
      <c r="Y9" s="251">
        <v>80</v>
      </c>
    </row>
    <row r="10" spans="1:25">
      <c r="A10" s="249">
        <v>90</v>
      </c>
      <c r="B10" s="250">
        <v>1.71</v>
      </c>
      <c r="C10" s="250">
        <v>1.73</v>
      </c>
      <c r="D10" s="250">
        <v>1.74</v>
      </c>
      <c r="E10" s="250">
        <v>1.76</v>
      </c>
      <c r="F10" s="250">
        <v>1.78</v>
      </c>
      <c r="G10" s="250">
        <v>1.8</v>
      </c>
      <c r="H10" s="250">
        <v>1.82</v>
      </c>
      <c r="I10" s="250">
        <v>1.84</v>
      </c>
      <c r="J10" s="250">
        <v>1.86</v>
      </c>
      <c r="K10" s="250">
        <v>1.88</v>
      </c>
      <c r="L10" s="251">
        <v>90</v>
      </c>
      <c r="N10" s="249">
        <v>90</v>
      </c>
      <c r="O10" s="250">
        <v>2.0499999999999998</v>
      </c>
      <c r="P10" s="250">
        <v>2.1</v>
      </c>
      <c r="Q10" s="250">
        <v>2.1</v>
      </c>
      <c r="R10" s="250">
        <v>2.19</v>
      </c>
      <c r="S10" s="250">
        <v>2.2400000000000002</v>
      </c>
      <c r="T10" s="250">
        <v>2.29</v>
      </c>
      <c r="U10" s="250">
        <v>2.33</v>
      </c>
      <c r="V10" s="250">
        <v>2.38</v>
      </c>
      <c r="W10" s="250">
        <v>2.4300000000000002</v>
      </c>
      <c r="X10" s="250">
        <v>2.48</v>
      </c>
      <c r="Y10" s="251">
        <v>90</v>
      </c>
    </row>
    <row r="11" spans="1:25">
      <c r="A11" s="249">
        <v>100</v>
      </c>
      <c r="B11" s="250">
        <v>1.9</v>
      </c>
      <c r="C11" s="250">
        <v>1.92</v>
      </c>
      <c r="D11" s="250">
        <v>1.94</v>
      </c>
      <c r="E11" s="250">
        <v>1.96</v>
      </c>
      <c r="F11" s="250">
        <v>1.98</v>
      </c>
      <c r="G11" s="250">
        <v>2</v>
      </c>
      <c r="H11" s="250">
        <v>2.02</v>
      </c>
      <c r="I11" s="250">
        <v>2.0499999999999998</v>
      </c>
      <c r="J11" s="250">
        <v>2.0699999999999998</v>
      </c>
      <c r="K11" s="250">
        <v>2.09</v>
      </c>
      <c r="L11" s="251">
        <v>100</v>
      </c>
      <c r="N11" s="249">
        <v>100</v>
      </c>
      <c r="O11" s="250">
        <v>2.5299999999999998</v>
      </c>
      <c r="P11" s="250">
        <v>2.58</v>
      </c>
      <c r="Q11" s="250">
        <v>2.64</v>
      </c>
      <c r="R11" s="250">
        <v>2.69</v>
      </c>
      <c r="S11" s="250">
        <v>2.74</v>
      </c>
      <c r="T11" s="250">
        <v>2.79</v>
      </c>
      <c r="U11" s="250">
        <v>2.85</v>
      </c>
      <c r="V11" s="250">
        <v>2.9</v>
      </c>
      <c r="W11" s="250">
        <v>2.95</v>
      </c>
      <c r="X11" s="250">
        <v>3.01</v>
      </c>
      <c r="Y11" s="251">
        <v>100</v>
      </c>
    </row>
    <row r="12" spans="1:25">
      <c r="A12" s="249">
        <v>110</v>
      </c>
      <c r="B12" s="250">
        <v>2.11</v>
      </c>
      <c r="C12" s="250">
        <v>2.14</v>
      </c>
      <c r="D12" s="250">
        <v>2.16</v>
      </c>
      <c r="E12" s="250">
        <v>2.1800000000000002</v>
      </c>
      <c r="F12" s="250">
        <v>2.21</v>
      </c>
      <c r="G12" s="250">
        <v>2.23</v>
      </c>
      <c r="H12" s="250">
        <v>2.27</v>
      </c>
      <c r="I12" s="250">
        <v>2.31</v>
      </c>
      <c r="J12" s="250">
        <v>2.35</v>
      </c>
      <c r="K12" s="250">
        <v>2.39</v>
      </c>
      <c r="L12" s="251">
        <v>110</v>
      </c>
      <c r="N12" s="249">
        <v>110</v>
      </c>
      <c r="O12" s="250">
        <v>3.06</v>
      </c>
      <c r="P12" s="250">
        <v>3.12</v>
      </c>
      <c r="Q12" s="250">
        <v>3.18</v>
      </c>
      <c r="R12" s="250">
        <v>3.23</v>
      </c>
      <c r="S12" s="250">
        <v>3.29</v>
      </c>
      <c r="T12" s="250">
        <v>3.35</v>
      </c>
      <c r="U12" s="250">
        <v>3.41</v>
      </c>
      <c r="V12" s="250">
        <v>3.47</v>
      </c>
      <c r="W12" s="250">
        <v>3.53</v>
      </c>
      <c r="X12" s="250">
        <v>3.59</v>
      </c>
      <c r="Y12" s="251">
        <v>110</v>
      </c>
    </row>
    <row r="13" spans="1:25">
      <c r="A13" s="249">
        <v>120</v>
      </c>
      <c r="B13" s="250">
        <v>2.4300000000000002</v>
      </c>
      <c r="C13" s="250">
        <v>2.4700000000000002</v>
      </c>
      <c r="D13" s="250">
        <v>2.5099999999999998</v>
      </c>
      <c r="E13" s="250">
        <v>2.5499999999999998</v>
      </c>
      <c r="F13" s="250">
        <v>2.6</v>
      </c>
      <c r="G13" s="250">
        <v>2.64</v>
      </c>
      <c r="H13" s="250">
        <v>2.68</v>
      </c>
      <c r="I13" s="250">
        <v>2.72</v>
      </c>
      <c r="J13" s="250">
        <v>2.77</v>
      </c>
      <c r="K13" s="250">
        <v>2.81</v>
      </c>
      <c r="L13" s="251">
        <v>120</v>
      </c>
      <c r="N13" s="249">
        <v>120</v>
      </c>
      <c r="O13" s="250">
        <v>3.65</v>
      </c>
      <c r="P13" s="250">
        <v>3.71</v>
      </c>
      <c r="Q13" s="250">
        <v>3.77</v>
      </c>
      <c r="R13" s="250">
        <v>3.83</v>
      </c>
      <c r="S13" s="250">
        <v>3.89</v>
      </c>
      <c r="T13" s="250">
        <v>3.96</v>
      </c>
      <c r="U13" s="250">
        <v>4.0199999999999996</v>
      </c>
      <c r="V13" s="250">
        <v>4.09</v>
      </c>
      <c r="W13" s="250">
        <v>4.1500000000000004</v>
      </c>
      <c r="X13" s="250">
        <v>4.22</v>
      </c>
      <c r="Y13" s="251">
        <v>120</v>
      </c>
    </row>
    <row r="14" spans="1:25">
      <c r="A14" s="249">
        <v>130</v>
      </c>
      <c r="B14" s="250">
        <v>2.85</v>
      </c>
      <c r="C14" s="250">
        <v>2.9</v>
      </c>
      <c r="D14" s="250">
        <v>2.94</v>
      </c>
      <c r="E14" s="250">
        <v>2.99</v>
      </c>
      <c r="F14" s="250">
        <v>3.03</v>
      </c>
      <c r="G14" s="250">
        <v>3.08</v>
      </c>
      <c r="H14" s="250">
        <v>3.12</v>
      </c>
      <c r="I14" s="250">
        <v>3.17</v>
      </c>
      <c r="J14" s="250">
        <v>3.22</v>
      </c>
      <c r="K14" s="250">
        <v>3.26</v>
      </c>
      <c r="L14" s="251">
        <v>130</v>
      </c>
      <c r="N14" s="249">
        <v>130</v>
      </c>
      <c r="O14" s="250">
        <v>4.28</v>
      </c>
      <c r="P14" s="250">
        <v>4.3499999999999996</v>
      </c>
      <c r="Q14" s="250">
        <v>4.41</v>
      </c>
      <c r="R14" s="250">
        <v>4.4800000000000004</v>
      </c>
      <c r="S14" s="250">
        <v>4.55</v>
      </c>
      <c r="T14" s="250">
        <v>4.62</v>
      </c>
      <c r="U14" s="250">
        <v>4.6900000000000004</v>
      </c>
      <c r="V14" s="250">
        <v>4.75</v>
      </c>
      <c r="W14" s="250">
        <v>4.82</v>
      </c>
      <c r="X14" s="250">
        <v>4.8899999999999997</v>
      </c>
      <c r="Y14" s="251">
        <v>130</v>
      </c>
    </row>
    <row r="15" spans="1:25">
      <c r="A15" s="249">
        <v>140</v>
      </c>
      <c r="B15" s="250">
        <v>3.31</v>
      </c>
      <c r="C15" s="250">
        <v>3.36</v>
      </c>
      <c r="D15" s="250">
        <v>3.41</v>
      </c>
      <c r="E15" s="250">
        <v>3.45</v>
      </c>
      <c r="F15" s="250">
        <v>3.5</v>
      </c>
      <c r="G15" s="250">
        <v>3.55</v>
      </c>
      <c r="H15" s="250">
        <v>3.6</v>
      </c>
      <c r="I15" s="250">
        <v>3.65</v>
      </c>
      <c r="J15" s="250">
        <v>3.7</v>
      </c>
      <c r="K15" s="250">
        <v>3.75</v>
      </c>
      <c r="L15" s="251">
        <v>140</v>
      </c>
      <c r="N15" s="249">
        <v>140</v>
      </c>
      <c r="O15" s="250">
        <v>4.96</v>
      </c>
      <c r="P15" s="250">
        <v>5.04</v>
      </c>
      <c r="Q15" s="250">
        <v>5.1100000000000003</v>
      </c>
      <c r="R15" s="250">
        <v>5.18</v>
      </c>
      <c r="S15" s="250">
        <v>5.25</v>
      </c>
      <c r="T15" s="250">
        <v>5.33</v>
      </c>
      <c r="U15" s="250">
        <v>5.4</v>
      </c>
      <c r="V15" s="250">
        <v>5.47</v>
      </c>
      <c r="W15" s="250">
        <v>5.55</v>
      </c>
      <c r="X15" s="250">
        <v>5.62</v>
      </c>
      <c r="Y15" s="251">
        <v>140</v>
      </c>
    </row>
    <row r="16" spans="1:25">
      <c r="A16" s="249">
        <v>150</v>
      </c>
      <c r="B16" s="250">
        <v>3.8</v>
      </c>
      <c r="C16" s="250">
        <v>3.85</v>
      </c>
      <c r="D16" s="250">
        <v>3.9</v>
      </c>
      <c r="E16" s="250">
        <v>3.95</v>
      </c>
      <c r="F16" s="250">
        <v>4</v>
      </c>
      <c r="G16" s="250">
        <v>4.0599999999999996</v>
      </c>
      <c r="H16" s="250">
        <v>4.1100000000000003</v>
      </c>
      <c r="I16" s="250">
        <v>4.16</v>
      </c>
      <c r="J16" s="250">
        <v>4.22</v>
      </c>
      <c r="K16" s="250">
        <v>4.2699999999999996</v>
      </c>
      <c r="L16" s="251">
        <v>150</v>
      </c>
      <c r="N16" s="249">
        <v>150</v>
      </c>
      <c r="O16" s="250">
        <v>5.7</v>
      </c>
      <c r="P16" s="250">
        <v>5.78</v>
      </c>
      <c r="Q16" s="250">
        <v>5.85</v>
      </c>
      <c r="R16" s="250">
        <v>5.93</v>
      </c>
      <c r="S16" s="250">
        <v>6.01</v>
      </c>
      <c r="T16" s="250">
        <v>6.09</v>
      </c>
      <c r="U16" s="250">
        <v>6.16</v>
      </c>
      <c r="V16" s="250">
        <v>6.24</v>
      </c>
      <c r="W16" s="250">
        <v>6.32</v>
      </c>
      <c r="X16" s="250">
        <v>6.4</v>
      </c>
      <c r="Y16" s="251">
        <v>150</v>
      </c>
    </row>
    <row r="17" spans="1:25">
      <c r="A17" s="249">
        <v>160</v>
      </c>
      <c r="B17" s="250">
        <v>4.32</v>
      </c>
      <c r="C17" s="250">
        <v>4.38</v>
      </c>
      <c r="D17" s="250">
        <v>4.43</v>
      </c>
      <c r="E17" s="250">
        <v>4.49</v>
      </c>
      <c r="F17" s="250">
        <v>4.54</v>
      </c>
      <c r="G17" s="250">
        <v>4.5999999999999996</v>
      </c>
      <c r="H17" s="250">
        <v>4.6500000000000004</v>
      </c>
      <c r="I17" s="250">
        <v>4.71</v>
      </c>
      <c r="J17" s="250">
        <v>4.7699999999999996</v>
      </c>
      <c r="K17" s="250">
        <v>4.82</v>
      </c>
      <c r="L17" s="251">
        <v>160</v>
      </c>
      <c r="N17" s="249">
        <v>160</v>
      </c>
      <c r="O17" s="250">
        <v>6.48</v>
      </c>
      <c r="P17" s="250">
        <v>6.57</v>
      </c>
      <c r="Q17" s="250">
        <v>6.65</v>
      </c>
      <c r="R17" s="250">
        <v>6.73</v>
      </c>
      <c r="S17" s="250">
        <v>6.81</v>
      </c>
      <c r="T17" s="250">
        <v>6.9</v>
      </c>
      <c r="U17" s="250">
        <v>6.98</v>
      </c>
      <c r="V17" s="250">
        <v>7.06</v>
      </c>
      <c r="W17" s="250">
        <v>7.15</v>
      </c>
      <c r="X17" s="250">
        <v>7.23</v>
      </c>
      <c r="Y17" s="251">
        <v>160</v>
      </c>
    </row>
    <row r="18" spans="1:25">
      <c r="A18" s="249">
        <v>170</v>
      </c>
      <c r="B18" s="250">
        <v>4.88</v>
      </c>
      <c r="C18" s="250">
        <v>4.9400000000000004</v>
      </c>
      <c r="D18" s="250">
        <v>5</v>
      </c>
      <c r="E18" s="250">
        <v>5.05</v>
      </c>
      <c r="F18" s="250">
        <v>5.1100000000000003</v>
      </c>
      <c r="G18" s="250">
        <v>5.17</v>
      </c>
      <c r="H18" s="250">
        <v>5.23</v>
      </c>
      <c r="I18" s="250">
        <v>5.29</v>
      </c>
      <c r="J18" s="250">
        <v>5.35</v>
      </c>
      <c r="K18" s="250">
        <v>5.41</v>
      </c>
      <c r="L18" s="251">
        <v>170</v>
      </c>
      <c r="N18" s="249">
        <v>170</v>
      </c>
      <c r="O18" s="250">
        <v>7.32</v>
      </c>
      <c r="P18" s="250">
        <v>7.41</v>
      </c>
      <c r="Q18" s="250">
        <v>7.49</v>
      </c>
      <c r="R18" s="250">
        <v>7.58</v>
      </c>
      <c r="S18" s="250">
        <v>7.67</v>
      </c>
      <c r="T18" s="250">
        <v>7.76</v>
      </c>
      <c r="U18" s="250">
        <v>7.85</v>
      </c>
      <c r="V18" s="250">
        <v>7.94</v>
      </c>
      <c r="W18" s="250">
        <v>8.0299999999999994</v>
      </c>
      <c r="X18" s="250">
        <v>8.1199999999999992</v>
      </c>
      <c r="Y18" s="251">
        <v>170</v>
      </c>
    </row>
    <row r="19" spans="1:25">
      <c r="A19" s="249">
        <v>180</v>
      </c>
      <c r="B19" s="250">
        <v>5.47</v>
      </c>
      <c r="C19" s="250">
        <v>5.53</v>
      </c>
      <c r="D19" s="250">
        <v>5.59</v>
      </c>
      <c r="E19" s="250">
        <v>5.66</v>
      </c>
      <c r="F19" s="250">
        <v>5.72</v>
      </c>
      <c r="G19" s="250">
        <v>5.78</v>
      </c>
      <c r="H19" s="250">
        <v>5.84</v>
      </c>
      <c r="I19" s="250">
        <v>5.91</v>
      </c>
      <c r="J19" s="250">
        <v>5.97</v>
      </c>
      <c r="K19" s="250">
        <v>6.03</v>
      </c>
      <c r="L19" s="251">
        <v>180</v>
      </c>
      <c r="N19" s="249">
        <v>180</v>
      </c>
      <c r="O19" s="250">
        <v>8.2100000000000009</v>
      </c>
      <c r="P19" s="250">
        <v>8.3000000000000007</v>
      </c>
      <c r="Q19" s="250">
        <v>8.39</v>
      </c>
      <c r="R19" s="250">
        <v>8.48</v>
      </c>
      <c r="S19" s="250">
        <v>8.58</v>
      </c>
      <c r="T19" s="250">
        <v>8.67</v>
      </c>
      <c r="U19" s="250">
        <v>8.76</v>
      </c>
      <c r="V19" s="250">
        <v>8.86</v>
      </c>
      <c r="W19" s="250">
        <v>8.9499999999999993</v>
      </c>
      <c r="X19" s="250">
        <v>9.0500000000000007</v>
      </c>
      <c r="Y19" s="251">
        <v>180</v>
      </c>
    </row>
    <row r="20" spans="1:25">
      <c r="A20" s="249">
        <v>190</v>
      </c>
      <c r="B20" s="250">
        <v>6.1</v>
      </c>
      <c r="C20" s="250">
        <v>6.16</v>
      </c>
      <c r="D20" s="250">
        <v>6.23</v>
      </c>
      <c r="E20" s="250">
        <v>6.29</v>
      </c>
      <c r="F20" s="250">
        <v>6.36</v>
      </c>
      <c r="G20" s="250">
        <v>6.42</v>
      </c>
      <c r="H20" s="250">
        <v>6.49</v>
      </c>
      <c r="I20" s="250">
        <v>6.55</v>
      </c>
      <c r="J20" s="250">
        <v>6.62</v>
      </c>
      <c r="K20" s="250">
        <v>6.69</v>
      </c>
      <c r="L20" s="251">
        <v>190</v>
      </c>
      <c r="N20" s="249">
        <v>190</v>
      </c>
      <c r="O20" s="250">
        <v>9.14</v>
      </c>
      <c r="P20" s="250">
        <v>9.24</v>
      </c>
      <c r="Q20" s="250">
        <v>9.34</v>
      </c>
      <c r="R20" s="250">
        <v>9.44</v>
      </c>
      <c r="S20" s="250">
        <v>9.5299999999999994</v>
      </c>
      <c r="T20" s="250">
        <v>9.6300000000000008</v>
      </c>
      <c r="U20" s="250">
        <v>9.73</v>
      </c>
      <c r="V20" s="250">
        <v>9.83</v>
      </c>
      <c r="W20" s="250">
        <v>9.93</v>
      </c>
      <c r="X20" s="250">
        <v>10.029999999999999</v>
      </c>
      <c r="Y20" s="251">
        <v>190</v>
      </c>
    </row>
    <row r="21" spans="1:25">
      <c r="A21" s="249">
        <v>200</v>
      </c>
      <c r="B21" s="250">
        <v>6.75</v>
      </c>
      <c r="C21" s="250">
        <v>6.82</v>
      </c>
      <c r="D21" s="250">
        <v>6.89</v>
      </c>
      <c r="E21" s="250">
        <v>6.96</v>
      </c>
      <c r="F21" s="250">
        <v>7.03</v>
      </c>
      <c r="G21" s="250">
        <v>7.1</v>
      </c>
      <c r="H21" s="250">
        <v>7.17</v>
      </c>
      <c r="I21" s="250">
        <v>7.24</v>
      </c>
      <c r="J21" s="250">
        <v>7.31</v>
      </c>
      <c r="K21" s="250">
        <v>7.38</v>
      </c>
      <c r="L21" s="251">
        <v>200</v>
      </c>
      <c r="N21" s="249">
        <v>200</v>
      </c>
      <c r="O21" s="250">
        <v>10.130000000000001</v>
      </c>
      <c r="P21" s="250">
        <v>10.23</v>
      </c>
      <c r="Q21" s="250">
        <v>10.34</v>
      </c>
      <c r="R21" s="250">
        <v>10.44</v>
      </c>
      <c r="S21" s="250">
        <v>10.54</v>
      </c>
      <c r="T21" s="250">
        <v>10.65</v>
      </c>
      <c r="U21" s="250">
        <v>10.75</v>
      </c>
      <c r="V21" s="250">
        <v>10.85</v>
      </c>
      <c r="W21" s="250">
        <v>10.96</v>
      </c>
      <c r="X21" s="250">
        <v>11.06</v>
      </c>
      <c r="Y21" s="251">
        <v>200</v>
      </c>
    </row>
    <row r="22" spans="1:25">
      <c r="A22" s="249">
        <v>210</v>
      </c>
      <c r="B22" s="250">
        <v>7.45</v>
      </c>
      <c r="C22" s="250">
        <v>7.52</v>
      </c>
      <c r="D22" s="250">
        <v>7.59</v>
      </c>
      <c r="E22" s="250">
        <v>7.66</v>
      </c>
      <c r="F22" s="250">
        <v>7.73</v>
      </c>
      <c r="G22" s="250">
        <v>7.81</v>
      </c>
      <c r="H22" s="250">
        <v>7.88</v>
      </c>
      <c r="I22" s="250">
        <v>7.95</v>
      </c>
      <c r="J22" s="250">
        <v>8.0299999999999994</v>
      </c>
      <c r="K22" s="250">
        <v>8.1</v>
      </c>
      <c r="L22" s="251">
        <v>210</v>
      </c>
      <c r="N22" s="249">
        <v>210</v>
      </c>
      <c r="O22" s="250">
        <v>11.17</v>
      </c>
      <c r="P22" s="250">
        <v>11.28</v>
      </c>
      <c r="Q22" s="250">
        <v>11.38</v>
      </c>
      <c r="R22" s="250">
        <v>11.49</v>
      </c>
      <c r="S22" s="250">
        <v>11.6</v>
      </c>
      <c r="T22" s="250">
        <v>11.71</v>
      </c>
      <c r="U22" s="250">
        <v>11.82</v>
      </c>
      <c r="V22" s="250">
        <v>11.93</v>
      </c>
      <c r="W22" s="250">
        <v>12.04</v>
      </c>
      <c r="X22" s="250">
        <v>12.15</v>
      </c>
      <c r="Y22" s="251">
        <v>210</v>
      </c>
    </row>
    <row r="23" spans="1:25">
      <c r="A23" s="249">
        <v>220</v>
      </c>
      <c r="B23" s="250">
        <v>8.17</v>
      </c>
      <c r="C23" s="250">
        <v>8.25</v>
      </c>
      <c r="D23" s="250">
        <v>8.32</v>
      </c>
      <c r="E23" s="250">
        <v>8.4</v>
      </c>
      <c r="F23" s="250">
        <v>8.4700000000000006</v>
      </c>
      <c r="G23" s="250">
        <v>8.5500000000000007</v>
      </c>
      <c r="H23" s="250">
        <v>8.6300000000000008</v>
      </c>
      <c r="I23" s="250">
        <v>8.6999999999999993</v>
      </c>
      <c r="J23" s="250">
        <v>8.7799999999999994</v>
      </c>
      <c r="K23" s="250">
        <v>8.86</v>
      </c>
      <c r="L23" s="251">
        <v>220</v>
      </c>
      <c r="N23" s="249">
        <v>220</v>
      </c>
      <c r="O23" s="250">
        <v>12.26</v>
      </c>
      <c r="P23" s="250">
        <v>12.37</v>
      </c>
      <c r="Q23" s="250">
        <v>12.48</v>
      </c>
      <c r="R23" s="250">
        <v>12.6</v>
      </c>
      <c r="S23" s="250">
        <v>12.71</v>
      </c>
      <c r="T23" s="250">
        <v>12.82</v>
      </c>
      <c r="U23" s="250">
        <v>12.94</v>
      </c>
      <c r="V23" s="250">
        <v>13.05</v>
      </c>
      <c r="W23" s="250">
        <v>13.17</v>
      </c>
      <c r="X23" s="250">
        <v>13.28</v>
      </c>
      <c r="Y23" s="251">
        <v>220</v>
      </c>
    </row>
    <row r="24" spans="1:25">
      <c r="A24" s="249">
        <v>230</v>
      </c>
      <c r="B24" s="250">
        <v>8.93</v>
      </c>
      <c r="C24" s="250">
        <v>9.01</v>
      </c>
      <c r="D24" s="250">
        <v>9.09</v>
      </c>
      <c r="E24" s="250">
        <v>9.17</v>
      </c>
      <c r="F24" s="250">
        <v>9.25</v>
      </c>
      <c r="G24" s="250">
        <v>9.33</v>
      </c>
      <c r="H24" s="250">
        <v>9.41</v>
      </c>
      <c r="I24" s="250">
        <v>9.49</v>
      </c>
      <c r="J24" s="250">
        <v>9.57</v>
      </c>
      <c r="K24" s="250">
        <v>9.65</v>
      </c>
      <c r="L24" s="251">
        <v>230</v>
      </c>
      <c r="N24" s="249">
        <v>230</v>
      </c>
      <c r="O24" s="250">
        <v>13.4</v>
      </c>
      <c r="P24" s="250">
        <v>13.52</v>
      </c>
      <c r="Q24" s="250">
        <v>13.63</v>
      </c>
      <c r="R24" s="250">
        <v>13.75</v>
      </c>
      <c r="S24" s="250">
        <v>13.87</v>
      </c>
      <c r="T24" s="250">
        <v>13.99</v>
      </c>
      <c r="U24" s="250">
        <v>14.11</v>
      </c>
      <c r="V24" s="250">
        <v>14.23</v>
      </c>
      <c r="W24" s="250">
        <v>14.35</v>
      </c>
      <c r="X24" s="250">
        <v>14.47</v>
      </c>
      <c r="Y24" s="251">
        <v>230</v>
      </c>
    </row>
    <row r="25" spans="1:25">
      <c r="A25" s="249">
        <v>240</v>
      </c>
      <c r="B25" s="250">
        <v>9.73</v>
      </c>
      <c r="C25" s="250">
        <v>9.81</v>
      </c>
      <c r="D25" s="250">
        <v>9.89</v>
      </c>
      <c r="E25" s="250">
        <v>9.9700000000000006</v>
      </c>
      <c r="F25" s="250">
        <v>10.050000000000001</v>
      </c>
      <c r="G25" s="250">
        <v>10.14</v>
      </c>
      <c r="H25" s="250">
        <v>10.220000000000001</v>
      </c>
      <c r="I25" s="250">
        <v>10.3</v>
      </c>
      <c r="J25" s="250">
        <v>10.39</v>
      </c>
      <c r="K25" s="250">
        <v>10.47</v>
      </c>
      <c r="L25" s="251">
        <v>240</v>
      </c>
      <c r="N25" s="249">
        <v>240</v>
      </c>
      <c r="O25" s="250">
        <v>14.59</v>
      </c>
      <c r="P25" s="250">
        <v>14.71</v>
      </c>
      <c r="Q25" s="250">
        <v>14.83</v>
      </c>
      <c r="R25" s="250">
        <v>14.96</v>
      </c>
      <c r="S25" s="250">
        <v>15.08</v>
      </c>
      <c r="T25" s="250">
        <v>15.2</v>
      </c>
      <c r="U25" s="250">
        <v>15.33</v>
      </c>
      <c r="V25" s="250">
        <v>15.45</v>
      </c>
      <c r="W25" s="250">
        <v>15.58</v>
      </c>
      <c r="X25" s="250">
        <v>15.71</v>
      </c>
      <c r="Y25" s="251">
        <v>240</v>
      </c>
    </row>
    <row r="26" spans="1:25" ht="13.5" thickBot="1">
      <c r="A26" s="252">
        <v>250</v>
      </c>
      <c r="B26" s="253">
        <v>10.55</v>
      </c>
      <c r="C26" s="253"/>
      <c r="D26" s="253"/>
      <c r="E26" s="253"/>
      <c r="F26" s="253"/>
      <c r="G26" s="253"/>
      <c r="H26" s="253"/>
      <c r="I26" s="253"/>
      <c r="J26" s="253"/>
      <c r="K26" s="253"/>
      <c r="L26" s="254"/>
      <c r="N26" s="252">
        <v>250</v>
      </c>
      <c r="O26" s="253">
        <v>15.83</v>
      </c>
      <c r="P26" s="253"/>
      <c r="Q26" s="253"/>
      <c r="R26" s="253"/>
      <c r="S26" s="253"/>
      <c r="T26" s="253"/>
      <c r="U26" s="253"/>
      <c r="V26" s="253"/>
      <c r="W26" s="253"/>
      <c r="X26" s="253"/>
      <c r="Y26" s="254"/>
    </row>
    <row r="28" spans="1:25">
      <c r="A28" s="545">
        <v>0.1</v>
      </c>
      <c r="C28" s="544"/>
    </row>
    <row r="29" spans="1:25">
      <c r="A29" s="293">
        <v>0.2</v>
      </c>
    </row>
    <row r="30" spans="1:25">
      <c r="A30" s="293">
        <v>0.3</v>
      </c>
    </row>
    <row r="31" spans="1:25">
      <c r="A31" s="293">
        <v>0.4</v>
      </c>
    </row>
    <row r="32" spans="1:25">
      <c r="A32" s="293">
        <v>0.5</v>
      </c>
    </row>
    <row r="33" spans="1:1">
      <c r="A33" s="293">
        <v>0.6</v>
      </c>
    </row>
    <row r="34" spans="1:1">
      <c r="A34" s="293">
        <v>0.7</v>
      </c>
    </row>
    <row r="35" spans="1:1">
      <c r="A35" s="293">
        <v>0.8</v>
      </c>
    </row>
    <row r="36" spans="1:1">
      <c r="A36" s="293">
        <v>0.9</v>
      </c>
    </row>
    <row r="37" spans="1:1">
      <c r="A37" s="293">
        <v>1</v>
      </c>
    </row>
    <row r="38" spans="1:1">
      <c r="A38" s="291"/>
    </row>
    <row r="39" spans="1:1">
      <c r="A39" s="291"/>
    </row>
    <row r="40" spans="1:1">
      <c r="A40" s="291"/>
    </row>
  </sheetData>
  <sheetProtection algorithmName="SHA-512" hashValue="slny+w6XPd7ABD4gKzYA7YsNRrxM/rjV7pghND87lEIPsnhIdMPJqtDXsYO2UkcV6yKkTrv0D305B84+7OKCxQ==" saltValue="zAtiigmcb+oUiHVKsNCrWQ==" spinCount="100000" sheet="1" objects="1" scenarios="1" selectLockedCells="1" selectUnlockedCells="1"/>
  <customSheetViews>
    <customSheetView guid="{ADB28B25-780E-4315-A7F7-F519CAE45D94}" showGridLines="0" state="hidden">
      <selection activeCell="C33" sqref="C33"/>
      <pageMargins left="0.7" right="0.7" top="0.75" bottom="0.75" header="0.3" footer="0.3"/>
    </customSheetView>
  </customSheetViews>
  <mergeCells count="2">
    <mergeCell ref="A1:L1"/>
    <mergeCell ref="N1:Y1"/>
  </mergeCells>
  <pageMargins left="0.7" right="0.7" top="0.75" bottom="0.75" header="0.3" footer="0.3"/>
  <pageSetup orientation="portrait" horizontalDpi="1200" verticalDpi="1200" r:id="rId1"/>
  <headerFooter>
    <oddHeader>&amp;L&amp;12&amp;"Tahoma"شماره پرونده: 8798_x000D_شناسه ملي آسانسور: 7899874342</oddHeader>
  </headerFooter>
</worksheet>
</file>

<file path=xl/worksheets/sheet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sheetPr codeName="SheetEN81_1A3">
    <tabColor rgb="FF009600"/>
    <pageSetUpPr fitToPage="1"/>
  </sheetPr>
  <dimension ref="A1:Q77"/>
  <sheetViews>
    <sheetView showGridLines="0" showRowColHeaders="0" rightToLeft="1" view="pageBreakPreview" topLeftCell="B28" zoomScaleNormal="90" zoomScaleSheetLayoutView="100" workbookViewId="0">
      <selection activeCell="D28" sqref="D28"/>
    </sheetView>
  </sheetViews>
  <sheetFormatPr defaultColWidth="8.69921875" defaultRowHeight="15.75"/>
  <cols>
    <col min="1" max="1" width="2.69921875" style="498" bestFit="1" customWidth="1"/>
    <col min="2" max="2" width="30.5" style="456" bestFit="1" customWidth="1"/>
    <col min="3" max="3" width="4.3984375" style="498" bestFit="1" customWidth="1"/>
    <col min="4" max="4" width="10.69921875" style="499" bestFit="1" customWidth="1"/>
    <col min="5" max="5" width="10.19921875" style="456" bestFit="1" customWidth="1"/>
    <col min="6" max="6" width="0.3984375" style="496" customWidth="1"/>
    <col min="7" max="7" width="27.59765625" style="456" customWidth="1"/>
    <col min="8" max="8" width="4.59765625" style="500" customWidth="1"/>
    <col min="9" max="9" width="6.09765625" style="499" customWidth="1"/>
    <col min="10" max="10" width="23.09765625" style="456" customWidth="1"/>
    <col min="11" max="11" width="2.69921875" style="504" bestFit="1" customWidth="1"/>
    <col min="12" max="12" width="6.69921875" style="456" hidden="1" customWidth="1"/>
    <col min="13" max="13" width="7.59765625" style="593" hidden="1" customWidth="1"/>
    <col min="14" max="14" width="0" style="456" hidden="1" customWidth="1"/>
    <col min="15" max="16384" width="8.69921875" style="456"/>
  </cols>
  <sheetData>
    <row r="1" spans="1:13" ht="18.75" thickBot="1">
      <c r="A1" s="773" t="s">
        <v>404</v>
      </c>
      <c r="B1" s="774"/>
      <c r="C1" s="774"/>
      <c r="D1" s="774"/>
      <c r="E1" s="775"/>
      <c r="F1" s="505"/>
      <c r="G1" s="766" t="s">
        <v>608</v>
      </c>
      <c r="H1" s="767"/>
      <c r="I1" s="767"/>
      <c r="J1" s="767"/>
      <c r="K1" s="768"/>
      <c r="L1" s="567" t="s">
        <v>702</v>
      </c>
      <c r="M1" s="592" t="s">
        <v>703</v>
      </c>
    </row>
    <row r="2" spans="1:13" ht="16.5" thickBot="1">
      <c r="A2" s="776" t="s">
        <v>405</v>
      </c>
      <c r="B2" s="423" t="s">
        <v>5</v>
      </c>
      <c r="C2" s="779">
        <f>File_ID</f>
        <v>0</v>
      </c>
      <c r="D2" s="779"/>
      <c r="E2" s="780"/>
      <c r="F2" s="457"/>
      <c r="G2" s="432"/>
      <c r="H2" s="433" t="s">
        <v>2</v>
      </c>
      <c r="I2" s="434" t="s">
        <v>3</v>
      </c>
      <c r="J2" s="435" t="s">
        <v>623</v>
      </c>
      <c r="K2" s="458"/>
    </row>
    <row r="3" spans="1:13" ht="17.25">
      <c r="A3" s="777"/>
      <c r="B3" s="424" t="s">
        <v>496</v>
      </c>
      <c r="C3" s="781">
        <f>Lift_ID</f>
        <v>0</v>
      </c>
      <c r="D3" s="781"/>
      <c r="E3" s="782"/>
      <c r="F3" s="459"/>
      <c r="G3" s="436" t="s">
        <v>184</v>
      </c>
      <c r="H3" s="452" t="s">
        <v>325</v>
      </c>
      <c r="I3" s="441">
        <f>A</f>
        <v>1570</v>
      </c>
      <c r="J3" s="637" t="s">
        <v>203</v>
      </c>
      <c r="K3" s="794" t="s">
        <v>618</v>
      </c>
    </row>
    <row r="4" spans="1:13" ht="17.25">
      <c r="A4" s="777"/>
      <c r="B4" s="425" t="s">
        <v>6</v>
      </c>
      <c r="C4" s="803" t="str">
        <f>'ورودی ها'!C4</f>
        <v>آراد پایا کیفیت آریا</v>
      </c>
      <c r="D4" s="804"/>
      <c r="E4" s="805"/>
      <c r="F4" s="460"/>
      <c r="G4" s="436" t="s">
        <v>183</v>
      </c>
      <c r="H4" s="452" t="s">
        <v>119</v>
      </c>
      <c r="I4" s="442">
        <f>mg</f>
        <v>12.3</v>
      </c>
      <c r="J4" s="637" t="s">
        <v>204</v>
      </c>
      <c r="K4" s="795"/>
    </row>
    <row r="5" spans="1:13" ht="18" thickBot="1">
      <c r="A5" s="778"/>
      <c r="B5" s="426" t="s">
        <v>208</v>
      </c>
      <c r="C5" s="806">
        <f>'ورودی ها'!C5</f>
        <v>0</v>
      </c>
      <c r="D5" s="807"/>
      <c r="E5" s="808"/>
      <c r="F5" s="460"/>
      <c r="G5" s="436" t="s">
        <v>456</v>
      </c>
      <c r="H5" s="452" t="s">
        <v>19</v>
      </c>
      <c r="I5" s="441">
        <f>c.</f>
        <v>10</v>
      </c>
      <c r="J5" s="637" t="s">
        <v>205</v>
      </c>
      <c r="K5" s="795"/>
    </row>
    <row r="6" spans="1:13" ht="18" thickBot="1">
      <c r="A6" s="461"/>
      <c r="B6" s="462" t="s">
        <v>1</v>
      </c>
      <c r="C6" s="463" t="s">
        <v>2</v>
      </c>
      <c r="D6" s="463" t="s">
        <v>3</v>
      </c>
      <c r="E6" s="464" t="s">
        <v>4</v>
      </c>
      <c r="F6" s="465"/>
      <c r="G6" s="436" t="s">
        <v>66</v>
      </c>
      <c r="H6" s="452" t="s">
        <v>617</v>
      </c>
      <c r="I6" s="441">
        <v>2100</v>
      </c>
      <c r="J6" s="637" t="s">
        <v>202</v>
      </c>
      <c r="K6" s="795"/>
    </row>
    <row r="7" spans="1:13" ht="18.600000000000001" customHeight="1">
      <c r="A7" s="703" t="s">
        <v>681</v>
      </c>
      <c r="B7" s="427" t="s">
        <v>625</v>
      </c>
      <c r="C7" s="437" t="s">
        <v>63</v>
      </c>
      <c r="D7" s="440" t="str">
        <f>Lift_Type</f>
        <v>مسافری</v>
      </c>
      <c r="E7" s="632" t="s">
        <v>328</v>
      </c>
      <c r="F7" s="466"/>
      <c r="G7" s="436" t="s">
        <v>72</v>
      </c>
      <c r="H7" s="452" t="s">
        <v>614</v>
      </c>
      <c r="I7" s="467">
        <f>Ix/10000</f>
        <v>59.52</v>
      </c>
      <c r="J7" s="637" t="s">
        <v>255</v>
      </c>
      <c r="K7" s="795"/>
    </row>
    <row r="8" spans="1:13" ht="18.75">
      <c r="A8" s="704"/>
      <c r="B8" s="428" t="s">
        <v>403</v>
      </c>
      <c r="C8" s="438" t="s">
        <v>172</v>
      </c>
      <c r="D8" s="441">
        <f>Stops</f>
        <v>10</v>
      </c>
      <c r="E8" s="633" t="s">
        <v>330</v>
      </c>
      <c r="F8" s="466"/>
      <c r="G8" s="436" t="s">
        <v>72</v>
      </c>
      <c r="H8" s="452" t="s">
        <v>614</v>
      </c>
      <c r="I8" s="467">
        <f>Iy/10000</f>
        <v>52.4</v>
      </c>
      <c r="J8" s="637" t="s">
        <v>256</v>
      </c>
      <c r="K8" s="795"/>
    </row>
    <row r="9" spans="1:13" ht="18.75">
      <c r="A9" s="704"/>
      <c r="B9" s="428" t="s">
        <v>230</v>
      </c>
      <c r="C9" s="438" t="s">
        <v>55</v>
      </c>
      <c r="D9" s="442">
        <f>H.</f>
        <v>28.8</v>
      </c>
      <c r="E9" s="633" t="s">
        <v>56</v>
      </c>
      <c r="F9" s="466"/>
      <c r="G9" s="436" t="s">
        <v>73</v>
      </c>
      <c r="H9" s="452" t="s">
        <v>615</v>
      </c>
      <c r="I9" s="467">
        <f>Wx/1000</f>
        <v>14.25</v>
      </c>
      <c r="J9" s="637" t="s">
        <v>257</v>
      </c>
      <c r="K9" s="795"/>
    </row>
    <row r="10" spans="1:13" ht="18.75">
      <c r="A10" s="704"/>
      <c r="B10" s="428" t="s">
        <v>229</v>
      </c>
      <c r="C10" s="438" t="s">
        <v>7</v>
      </c>
      <c r="D10" s="441">
        <f>Passengers_No.</f>
        <v>10</v>
      </c>
      <c r="E10" s="633" t="s">
        <v>329</v>
      </c>
      <c r="F10" s="466"/>
      <c r="G10" s="436" t="s">
        <v>73</v>
      </c>
      <c r="H10" s="452" t="s">
        <v>615</v>
      </c>
      <c r="I10" s="467">
        <f>Wy/1000</f>
        <v>11.8</v>
      </c>
      <c r="J10" s="637" t="s">
        <v>258</v>
      </c>
      <c r="K10" s="795"/>
    </row>
    <row r="11" spans="1:13" ht="17.649999999999999" customHeight="1">
      <c r="A11" s="704"/>
      <c r="B11" s="428" t="s">
        <v>321</v>
      </c>
      <c r="C11" s="438" t="s">
        <v>24</v>
      </c>
      <c r="D11" s="441">
        <f>Q</f>
        <v>800</v>
      </c>
      <c r="E11" s="633" t="s">
        <v>26</v>
      </c>
      <c r="F11" s="466"/>
      <c r="G11" s="436" t="s">
        <v>75</v>
      </c>
      <c r="H11" s="452" t="s">
        <v>63</v>
      </c>
      <c r="I11" s="467">
        <f>L/i</f>
        <v>98.360655737704917</v>
      </c>
      <c r="J11" s="637" t="s">
        <v>211</v>
      </c>
      <c r="K11" s="795"/>
    </row>
    <row r="12" spans="1:13" ht="18" customHeight="1" thickBot="1">
      <c r="A12" s="704"/>
      <c r="B12" s="428" t="s">
        <v>407</v>
      </c>
      <c r="C12" s="438" t="s">
        <v>24</v>
      </c>
      <c r="D12" s="441">
        <f>P</f>
        <v>800</v>
      </c>
      <c r="E12" s="633" t="s">
        <v>25</v>
      </c>
      <c r="F12" s="466"/>
      <c r="G12" s="436" t="s">
        <v>76</v>
      </c>
      <c r="H12" s="452" t="s">
        <v>63</v>
      </c>
      <c r="I12" s="468">
        <f>ω</f>
        <v>1.8672131147540985</v>
      </c>
      <c r="J12" s="637" t="s">
        <v>322</v>
      </c>
      <c r="K12" s="796"/>
    </row>
    <row r="13" spans="1:13" ht="18" customHeight="1">
      <c r="A13" s="704"/>
      <c r="B13" s="428" t="s">
        <v>27</v>
      </c>
      <c r="C13" s="438" t="s">
        <v>19</v>
      </c>
      <c r="D13" s="441">
        <f>DX</f>
        <v>1350</v>
      </c>
      <c r="E13" s="633" t="s">
        <v>276</v>
      </c>
      <c r="F13" s="466"/>
      <c r="G13" s="783" t="s">
        <v>185</v>
      </c>
      <c r="H13" s="784"/>
      <c r="I13" s="784"/>
      <c r="J13" s="785"/>
      <c r="K13" s="794" t="s">
        <v>611</v>
      </c>
    </row>
    <row r="14" spans="1:13" ht="18.75">
      <c r="A14" s="704"/>
      <c r="B14" s="428" t="s">
        <v>28</v>
      </c>
      <c r="C14" s="438" t="s">
        <v>19</v>
      </c>
      <c r="D14" s="441">
        <f>DY</f>
        <v>1400</v>
      </c>
      <c r="E14" s="633" t="s">
        <v>277</v>
      </c>
      <c r="F14" s="466"/>
      <c r="G14" s="436" t="s">
        <v>78</v>
      </c>
      <c r="H14" s="452" t="s">
        <v>37</v>
      </c>
      <c r="I14" s="469">
        <f>Fk</f>
        <v>15696</v>
      </c>
      <c r="J14" s="637" t="s">
        <v>772</v>
      </c>
      <c r="K14" s="795"/>
    </row>
    <row r="15" spans="1:13" ht="18.75">
      <c r="A15" s="704"/>
      <c r="B15" s="428" t="str">
        <f>IF('ورودی ها'!G15=TRUE,"جمع مساحت مفید داخل کابین       (دستی)","جمع مساحت مفید داخل کابین     (اتوماتیک)")</f>
        <v>جمع مساحت مفید داخل کابین     (اتوماتیک)</v>
      </c>
      <c r="C15" s="438" t="s">
        <v>293</v>
      </c>
      <c r="D15" s="468">
        <f>Atotal</f>
        <v>1.964</v>
      </c>
      <c r="E15" s="633" t="s">
        <v>767</v>
      </c>
      <c r="F15" s="466"/>
      <c r="G15" s="470" t="s">
        <v>79</v>
      </c>
      <c r="H15" s="471" t="s">
        <v>323</v>
      </c>
      <c r="I15" s="472">
        <f>σk</f>
        <v>18.667373916675366</v>
      </c>
      <c r="J15" s="638" t="s">
        <v>773</v>
      </c>
      <c r="K15" s="795"/>
    </row>
    <row r="16" spans="1:13" ht="18.75">
      <c r="A16" s="704"/>
      <c r="B16" s="428" t="s">
        <v>9</v>
      </c>
      <c r="C16" s="438" t="s">
        <v>10</v>
      </c>
      <c r="D16" s="442">
        <f>VCar</f>
        <v>1.6</v>
      </c>
      <c r="E16" s="633" t="s">
        <v>271</v>
      </c>
      <c r="F16" s="466"/>
      <c r="G16" s="473">
        <f>205-I16</f>
        <v>169.32431488711455</v>
      </c>
      <c r="H16" s="452" t="s">
        <v>323</v>
      </c>
      <c r="I16" s="474">
        <f>IF('محاسبات  ریل'!C52&gt;'محاسبات  ریل'!C70,'محاسبات  ریل'!C52,'محاسبات  ریل'!C70)</f>
        <v>35.675685112885454</v>
      </c>
      <c r="J16" s="637" t="s">
        <v>774</v>
      </c>
      <c r="K16" s="795"/>
      <c r="L16" s="565">
        <f t="shared" ref="L16:L18" si="0">IF(G16&lt;0,1,0)</f>
        <v>0</v>
      </c>
    </row>
    <row r="17" spans="1:13" ht="19.5" thickBot="1">
      <c r="A17" s="705"/>
      <c r="B17" s="429" t="s">
        <v>372</v>
      </c>
      <c r="C17" s="439" t="s">
        <v>63</v>
      </c>
      <c r="D17" s="443" t="str">
        <f>Guide_Shoe_Type</f>
        <v>لغزشی با روغن</v>
      </c>
      <c r="E17" s="634" t="s">
        <v>417</v>
      </c>
      <c r="F17" s="466"/>
      <c r="G17" s="473">
        <f>205-I17</f>
        <v>163.22221648809716</v>
      </c>
      <c r="H17" s="452" t="s">
        <v>323</v>
      </c>
      <c r="I17" s="474">
        <f>IF('محاسبات  ریل'!C53&gt;'محاسبات  ریل'!C71,'محاسبات  ریل'!C53,'محاسبات  ریل'!C71)</f>
        <v>41.777783511902854</v>
      </c>
      <c r="J17" s="637" t="s">
        <v>265</v>
      </c>
      <c r="K17" s="795"/>
      <c r="L17" s="565">
        <f t="shared" si="0"/>
        <v>0</v>
      </c>
    </row>
    <row r="18" spans="1:13" ht="18.75">
      <c r="A18" s="703" t="s">
        <v>16</v>
      </c>
      <c r="B18" s="427" t="s">
        <v>679</v>
      </c>
      <c r="C18" s="787" t="str">
        <f>Motor_type</f>
        <v>Wittur/SG8</v>
      </c>
      <c r="D18" s="787"/>
      <c r="E18" s="632" t="s">
        <v>448</v>
      </c>
      <c r="F18" s="466"/>
      <c r="G18" s="473">
        <f>205-I18</f>
        <v>196.8898890625</v>
      </c>
      <c r="H18" s="452" t="s">
        <v>323</v>
      </c>
      <c r="I18" s="474">
        <f>IF('محاسبات  ریل'!C55&gt;'محاسبات  ریل'!C73,'محاسبات  ریل'!C55,'محاسبات  ریل'!C73)</f>
        <v>8.1101109375</v>
      </c>
      <c r="J18" s="637" t="s">
        <v>775</v>
      </c>
      <c r="K18" s="795"/>
      <c r="L18" s="565">
        <f t="shared" si="0"/>
        <v>0</v>
      </c>
    </row>
    <row r="19" spans="1:13" ht="18.75">
      <c r="A19" s="704"/>
      <c r="B19" s="428" t="s">
        <v>182</v>
      </c>
      <c r="C19" s="438" t="s">
        <v>17</v>
      </c>
      <c r="D19" s="442">
        <f>Wout</f>
        <v>11</v>
      </c>
      <c r="E19" s="633" t="s">
        <v>272</v>
      </c>
      <c r="F19" s="466"/>
      <c r="G19" s="475">
        <f>5-I19</f>
        <v>4.6611723819179387</v>
      </c>
      <c r="H19" s="452" t="s">
        <v>19</v>
      </c>
      <c r="I19" s="474">
        <f>IF('محاسبات  ریل'!C57&gt;'محاسبات  ریل'!C75,'محاسبات  ریل'!C57,'محاسبات  ریل'!C75)</f>
        <v>0.33882761808206108</v>
      </c>
      <c r="J19" s="637" t="s">
        <v>776</v>
      </c>
      <c r="K19" s="795"/>
      <c r="L19" s="565">
        <f>IF(G19&lt;0,1,0)</f>
        <v>0</v>
      </c>
    </row>
    <row r="20" spans="1:13" ht="18.75">
      <c r="A20" s="704"/>
      <c r="B20" s="428" t="s">
        <v>396</v>
      </c>
      <c r="C20" s="438" t="s">
        <v>24</v>
      </c>
      <c r="D20" s="441">
        <f>CsMAX</f>
        <v>5000</v>
      </c>
      <c r="E20" s="633" t="s">
        <v>768</v>
      </c>
      <c r="F20" s="466"/>
      <c r="G20" s="475">
        <f>5-I20</f>
        <v>4.2824212449596777</v>
      </c>
      <c r="H20" s="452" t="s">
        <v>19</v>
      </c>
      <c r="I20" s="474">
        <f>IF('محاسبات  ریل'!C58&gt;'محاسبات  ریل'!C76,'محاسبات  ریل'!C58,'محاسبات  ریل'!C76)</f>
        <v>0.71757875504032254</v>
      </c>
      <c r="J20" s="637" t="s">
        <v>777</v>
      </c>
      <c r="K20" s="795"/>
      <c r="L20" s="565">
        <f>IF(G20&lt;0,1,0)</f>
        <v>0</v>
      </c>
    </row>
    <row r="21" spans="1:13" ht="18.75">
      <c r="A21" s="704"/>
      <c r="B21" s="428" t="s">
        <v>628</v>
      </c>
      <c r="C21" s="438" t="s">
        <v>24</v>
      </c>
      <c r="D21" s="441">
        <f>Mgb</f>
        <v>600</v>
      </c>
      <c r="E21" s="633" t="s">
        <v>273</v>
      </c>
      <c r="F21" s="466"/>
      <c r="G21" s="783" t="s">
        <v>186</v>
      </c>
      <c r="H21" s="784"/>
      <c r="I21" s="784"/>
      <c r="J21" s="785"/>
      <c r="K21" s="795"/>
      <c r="L21" s="564"/>
    </row>
    <row r="22" spans="1:13" ht="18.75">
      <c r="A22" s="704"/>
      <c r="B22" s="428" t="s">
        <v>18</v>
      </c>
      <c r="C22" s="438" t="s">
        <v>19</v>
      </c>
      <c r="D22" s="467">
        <f>Dt</f>
        <v>400</v>
      </c>
      <c r="E22" s="633" t="s">
        <v>274</v>
      </c>
      <c r="F22" s="466"/>
      <c r="G22" s="476">
        <f>165-I22</f>
        <v>149.59306026984834</v>
      </c>
      <c r="H22" s="452" t="s">
        <v>323</v>
      </c>
      <c r="I22" s="474">
        <f>IF('محاسبات  ریل'!C89&gt;'محاسبات  ریل'!C106,'محاسبات  ریل'!C89,'محاسبات  ریل'!C106)</f>
        <v>15.406939730151651</v>
      </c>
      <c r="J22" s="637" t="s">
        <v>778</v>
      </c>
      <c r="K22" s="795"/>
      <c r="L22" s="565">
        <f t="shared" ref="L22:L25" si="1">IF(G22&lt;0,1,0)</f>
        <v>0</v>
      </c>
    </row>
    <row r="23" spans="1:13" ht="18.75">
      <c r="A23" s="704"/>
      <c r="B23" s="428" t="s">
        <v>90</v>
      </c>
      <c r="C23" s="438" t="s">
        <v>22</v>
      </c>
      <c r="D23" s="467">
        <f>γ</f>
        <v>25</v>
      </c>
      <c r="E23" s="633" t="s">
        <v>198</v>
      </c>
      <c r="F23" s="466"/>
      <c r="G23" s="476">
        <f>165-I23</f>
        <v>160.13393343749999</v>
      </c>
      <c r="H23" s="452" t="s">
        <v>323</v>
      </c>
      <c r="I23" s="474">
        <f>IF('محاسبات  ریل'!C91&gt;'محاسبات  ریل'!C108,'محاسبات  ریل'!C91,'محاسبات  ریل'!C108)</f>
        <v>4.8660665625000004</v>
      </c>
      <c r="J23" s="637" t="s">
        <v>779</v>
      </c>
      <c r="K23" s="795"/>
      <c r="L23" s="565">
        <f t="shared" si="1"/>
        <v>0</v>
      </c>
    </row>
    <row r="24" spans="1:13" ht="18.75">
      <c r="A24" s="704"/>
      <c r="B24" s="428" t="s">
        <v>20</v>
      </c>
      <c r="C24" s="438"/>
      <c r="D24" s="478" t="str">
        <f>Groove_Type</f>
        <v>U</v>
      </c>
      <c r="E24" s="635" t="str">
        <f>IF(Groove_Type="V hardened","سخت شده",IF(Groove_Type="V","سخت نشده","-"))</f>
        <v>-</v>
      </c>
      <c r="F24" s="466"/>
      <c r="G24" s="477">
        <f>5-I24</f>
        <v>4.7967034291507638</v>
      </c>
      <c r="H24" s="452" t="s">
        <v>19</v>
      </c>
      <c r="I24" s="474">
        <f>IF('محاسبات  ریل'!C93&gt;'محاسبات  ریل'!C110,'محاسبات  ریل'!C93,'محاسبات  ریل'!C110)</f>
        <v>0.20329657084923661</v>
      </c>
      <c r="J24" s="637" t="s">
        <v>776</v>
      </c>
      <c r="K24" s="795"/>
      <c r="L24" s="565">
        <f t="shared" si="1"/>
        <v>0</v>
      </c>
    </row>
    <row r="25" spans="1:13" ht="18.75">
      <c r="A25" s="704"/>
      <c r="B25" s="428" t="s">
        <v>629</v>
      </c>
      <c r="C25" s="438" t="s">
        <v>22</v>
      </c>
      <c r="D25" s="441">
        <f>IF(OR(β=0,Groove_Type="V hardened"),"N/A",β)</f>
        <v>97.2</v>
      </c>
      <c r="E25" s="633" t="s">
        <v>199</v>
      </c>
      <c r="F25" s="466"/>
      <c r="G25" s="477">
        <f>5-I25</f>
        <v>4.5694527469758066</v>
      </c>
      <c r="H25" s="452" t="s">
        <v>19</v>
      </c>
      <c r="I25" s="474">
        <f>IF('محاسبات  ریل'!C94&gt;'محاسبات  ریل'!C111,'محاسبات  ریل'!C94,'محاسبات  ریل'!C111)</f>
        <v>0.43054725302419355</v>
      </c>
      <c r="J25" s="637" t="s">
        <v>777</v>
      </c>
      <c r="K25" s="795"/>
      <c r="L25" s="565">
        <f t="shared" si="1"/>
        <v>0</v>
      </c>
    </row>
    <row r="26" spans="1:13" ht="18.75">
      <c r="A26" s="704"/>
      <c r="B26" s="428" t="s">
        <v>630</v>
      </c>
      <c r="C26" s="438" t="s">
        <v>63</v>
      </c>
      <c r="D26" s="479" t="str">
        <f>IF(ηG=1,"N/A",ηG)</f>
        <v>N/A</v>
      </c>
      <c r="E26" s="633" t="s">
        <v>270</v>
      </c>
      <c r="F26" s="466"/>
      <c r="G26" s="783" t="s">
        <v>469</v>
      </c>
      <c r="H26" s="784"/>
      <c r="I26" s="784"/>
      <c r="J26" s="785"/>
      <c r="K26" s="795"/>
      <c r="L26" s="564"/>
    </row>
    <row r="27" spans="1:13" ht="18.600000000000001" customHeight="1">
      <c r="A27" s="704"/>
      <c r="B27" s="428" t="s">
        <v>406</v>
      </c>
      <c r="C27" s="438" t="s">
        <v>419</v>
      </c>
      <c r="D27" s="441">
        <f>Wr</f>
        <v>1</v>
      </c>
      <c r="E27" s="444" t="str">
        <f>IF(Wr=1, "پیچش تکی", "پیچش دوبل")</f>
        <v>پیچش تکی</v>
      </c>
      <c r="F27" s="466"/>
      <c r="G27" s="436" t="s">
        <v>616</v>
      </c>
      <c r="H27" s="452" t="s">
        <v>68</v>
      </c>
      <c r="I27" s="441">
        <f>Fs</f>
        <v>3139.2000000000003</v>
      </c>
      <c r="J27" s="637" t="s">
        <v>253</v>
      </c>
      <c r="K27" s="795"/>
      <c r="L27" s="564"/>
    </row>
    <row r="28" spans="1:13" ht="18.75">
      <c r="A28" s="704"/>
      <c r="B28" s="428" t="s">
        <v>631</v>
      </c>
      <c r="C28" s="438" t="s">
        <v>19</v>
      </c>
      <c r="D28" s="441" t="str">
        <f>IF('ورودی ها'!G38=FALSE,RDB,"-")</f>
        <v>-</v>
      </c>
      <c r="E28" s="633" t="s">
        <v>15</v>
      </c>
      <c r="F28" s="457"/>
      <c r="G28" s="476">
        <f>165-I28</f>
        <v>144.04859988291705</v>
      </c>
      <c r="H28" s="452" t="s">
        <v>323</v>
      </c>
      <c r="I28" s="474">
        <f>'محاسبات  ریل'!C123</f>
        <v>20.951400117082962</v>
      </c>
      <c r="J28" s="637" t="s">
        <v>778</v>
      </c>
      <c r="K28" s="795"/>
      <c r="L28" s="565">
        <f t="shared" ref="L28:L30" si="2">IF(G28&lt;0,1,0)</f>
        <v>0</v>
      </c>
    </row>
    <row r="29" spans="1:13" ht="18.75">
      <c r="A29" s="704"/>
      <c r="B29" s="428" t="s">
        <v>632</v>
      </c>
      <c r="C29" s="438" t="s">
        <v>19</v>
      </c>
      <c r="D29" s="441" t="str">
        <f>IF('ورودی ها'!G38=FALSE,hP,"-")</f>
        <v>-</v>
      </c>
      <c r="E29" s="633" t="s">
        <v>275</v>
      </c>
      <c r="F29" s="457"/>
      <c r="G29" s="476">
        <f>165-I29</f>
        <v>153.70255875000001</v>
      </c>
      <c r="H29" s="452" t="s">
        <v>323</v>
      </c>
      <c r="I29" s="474">
        <f>'محاسبات  ریل'!C125</f>
        <v>11.297441250000004</v>
      </c>
      <c r="J29" s="637" t="s">
        <v>779</v>
      </c>
      <c r="K29" s="795"/>
      <c r="L29" s="565">
        <f t="shared" si="2"/>
        <v>0</v>
      </c>
    </row>
    <row r="30" spans="1:13" ht="19.5" thickBot="1">
      <c r="A30" s="705"/>
      <c r="B30" s="429" t="str">
        <f>IF('ورودی ها'!G38=TRUE,"زاویه پیچش روی فلکه کششی      (دستی)","زاویه پیچش روی فلکه کششی    (اتوماتیک)")</f>
        <v>زاویه پیچش روی فلکه کششی      (دستی)</v>
      </c>
      <c r="C30" s="439" t="s">
        <v>22</v>
      </c>
      <c r="D30" s="451">
        <f>α.</f>
        <v>180</v>
      </c>
      <c r="E30" s="634" t="s">
        <v>164</v>
      </c>
      <c r="F30" s="466"/>
      <c r="G30" s="477">
        <f>5-I30</f>
        <v>4.5280107585877865</v>
      </c>
      <c r="H30" s="452" t="s">
        <v>19</v>
      </c>
      <c r="I30" s="474">
        <f>'محاسبات  ریل'!C127</f>
        <v>0.47198924141221382</v>
      </c>
      <c r="J30" s="637" t="s">
        <v>776</v>
      </c>
      <c r="K30" s="795"/>
      <c r="L30" s="565">
        <f t="shared" si="2"/>
        <v>0</v>
      </c>
    </row>
    <row r="31" spans="1:13" ht="19.5" thickBot="1">
      <c r="A31" s="703" t="s">
        <v>686</v>
      </c>
      <c r="B31" s="427" t="s">
        <v>23</v>
      </c>
      <c r="C31" s="437" t="s">
        <v>19</v>
      </c>
      <c r="D31" s="482" t="str">
        <f>'ورودی ها'!D40</f>
        <v>T89/A-B</v>
      </c>
      <c r="E31" s="632" t="str">
        <f>INDEX(Guide_Rail_Table,Guide_Rail_Type,2)</f>
        <v>89-62-16</v>
      </c>
      <c r="F31" s="466"/>
      <c r="G31" s="480">
        <f>5-I31</f>
        <v>4.8998727318548383</v>
      </c>
      <c r="H31" s="454" t="s">
        <v>19</v>
      </c>
      <c r="I31" s="481">
        <f>'محاسبات  ریل'!C128</f>
        <v>0.10012726814516129</v>
      </c>
      <c r="J31" s="639" t="s">
        <v>777</v>
      </c>
      <c r="K31" s="796"/>
      <c r="L31" s="565">
        <f>IF(G31&lt;0,1,0)</f>
        <v>0</v>
      </c>
      <c r="M31" s="593">
        <f>SUM(L16:L31)</f>
        <v>0</v>
      </c>
    </row>
    <row r="32" spans="1:13" ht="18.75">
      <c r="A32" s="704"/>
      <c r="B32" s="428" t="s">
        <v>633</v>
      </c>
      <c r="C32" s="438" t="s">
        <v>63</v>
      </c>
      <c r="D32" s="441" t="str">
        <f>Safety_gear_Type</f>
        <v>تدریجی</v>
      </c>
      <c r="E32" s="633" t="s">
        <v>418</v>
      </c>
      <c r="F32" s="465"/>
      <c r="G32" s="436" t="s">
        <v>619</v>
      </c>
      <c r="H32" s="452" t="s">
        <v>46</v>
      </c>
      <c r="I32" s="483">
        <f>Mcwt</f>
        <v>1139.24</v>
      </c>
      <c r="J32" s="637" t="s">
        <v>780</v>
      </c>
      <c r="K32" s="703" t="s">
        <v>201</v>
      </c>
      <c r="L32" s="564"/>
    </row>
    <row r="33" spans="1:12" ht="18.75">
      <c r="A33" s="704"/>
      <c r="B33" s="428" t="s">
        <v>29</v>
      </c>
      <c r="C33" s="438" t="s">
        <v>19</v>
      </c>
      <c r="D33" s="441">
        <f>L</f>
        <v>1800</v>
      </c>
      <c r="E33" s="633" t="s">
        <v>30</v>
      </c>
      <c r="F33" s="466"/>
      <c r="G33" s="436" t="s">
        <v>620</v>
      </c>
      <c r="H33" s="452" t="s">
        <v>10</v>
      </c>
      <c r="I33" s="483">
        <f>Vsr</f>
        <v>3.2</v>
      </c>
      <c r="J33" s="637" t="s">
        <v>402</v>
      </c>
      <c r="K33" s="704"/>
      <c r="L33" s="564"/>
    </row>
    <row r="34" spans="1:12" ht="18.75">
      <c r="A34" s="704"/>
      <c r="B34" s="428" t="s">
        <v>231</v>
      </c>
      <c r="C34" s="438" t="s">
        <v>19</v>
      </c>
      <c r="D34" s="441">
        <f>h</f>
        <v>3200</v>
      </c>
      <c r="E34" s="633" t="s">
        <v>32</v>
      </c>
      <c r="F34" s="466"/>
      <c r="G34" s="436" t="s">
        <v>453</v>
      </c>
      <c r="H34" s="452" t="s">
        <v>161</v>
      </c>
      <c r="I34" s="484">
        <f>msr</f>
        <v>0.35</v>
      </c>
      <c r="J34" s="637" t="s">
        <v>389</v>
      </c>
      <c r="K34" s="704"/>
      <c r="L34" s="564"/>
    </row>
    <row r="35" spans="1:12" ht="18.75">
      <c r="A35" s="704"/>
      <c r="B35" s="428" t="s">
        <v>33</v>
      </c>
      <c r="C35" s="438" t="s">
        <v>601</v>
      </c>
      <c r="D35" s="441">
        <f>n</f>
        <v>2</v>
      </c>
      <c r="E35" s="633" t="s">
        <v>34</v>
      </c>
      <c r="F35" s="466"/>
      <c r="G35" s="436" t="s">
        <v>454</v>
      </c>
      <c r="H35" s="452" t="s">
        <v>190</v>
      </c>
      <c r="I35" s="483">
        <f>Fsr_min</f>
        <v>50</v>
      </c>
      <c r="J35" s="637" t="s">
        <v>300</v>
      </c>
      <c r="K35" s="704"/>
      <c r="L35" s="564"/>
    </row>
    <row r="36" spans="1:12" ht="18.75">
      <c r="A36" s="704"/>
      <c r="B36" s="428" t="s">
        <v>35</v>
      </c>
      <c r="C36" s="438" t="s">
        <v>63</v>
      </c>
      <c r="D36" s="486">
        <f>q.</f>
        <v>0.42</v>
      </c>
      <c r="E36" s="633" t="s">
        <v>36</v>
      </c>
      <c r="F36" s="466"/>
      <c r="G36" s="436" t="s">
        <v>621</v>
      </c>
      <c r="H36" s="452" t="s">
        <v>46</v>
      </c>
      <c r="I36" s="483">
        <f>MSR.</f>
        <v>40.32</v>
      </c>
      <c r="J36" s="637" t="s">
        <v>718</v>
      </c>
      <c r="K36" s="704"/>
      <c r="L36" s="564"/>
    </row>
    <row r="37" spans="1:12" ht="18.75">
      <c r="A37" s="704"/>
      <c r="B37" s="428" t="s">
        <v>408</v>
      </c>
      <c r="C37" s="438" t="s">
        <v>37</v>
      </c>
      <c r="D37" s="441">
        <f>Maux</f>
        <v>0</v>
      </c>
      <c r="E37" s="633" t="s">
        <v>917</v>
      </c>
      <c r="F37" s="466"/>
      <c r="G37" s="436" t="s">
        <v>622</v>
      </c>
      <c r="H37" s="452" t="s">
        <v>46</v>
      </c>
      <c r="I37" s="483">
        <f>MCR.</f>
        <v>0</v>
      </c>
      <c r="J37" s="637" t="s">
        <v>719</v>
      </c>
      <c r="K37" s="704"/>
      <c r="L37" s="564"/>
    </row>
    <row r="38" spans="1:12" ht="18.75">
      <c r="A38" s="704"/>
      <c r="B38" s="428" t="s">
        <v>410</v>
      </c>
      <c r="C38" s="438" t="s">
        <v>19</v>
      </c>
      <c r="D38" s="441">
        <f>XC</f>
        <v>-50</v>
      </c>
      <c r="E38" s="633" t="s">
        <v>278</v>
      </c>
      <c r="F38" s="466"/>
      <c r="G38" s="783" t="s">
        <v>602</v>
      </c>
      <c r="H38" s="784"/>
      <c r="I38" s="485">
        <f>EXP(f1.*α)</f>
        <v>1.9098148710596015</v>
      </c>
      <c r="J38" s="640" t="s">
        <v>781</v>
      </c>
      <c r="K38" s="704"/>
      <c r="L38" s="565"/>
    </row>
    <row r="39" spans="1:12" ht="18.75">
      <c r="A39" s="704"/>
      <c r="B39" s="428" t="s">
        <v>409</v>
      </c>
      <c r="C39" s="438" t="s">
        <v>19</v>
      </c>
      <c r="D39" s="441">
        <f>YC</f>
        <v>0</v>
      </c>
      <c r="E39" s="633" t="s">
        <v>279</v>
      </c>
      <c r="F39" s="466"/>
      <c r="G39" s="769">
        <f>I38-I39</f>
        <v>0.29140689097059025</v>
      </c>
      <c r="H39" s="770"/>
      <c r="I39" s="484">
        <f>IF('محاسبات  سیم بکسل'!C45&gt;'محاسبات  سیم بکسل'!C51,'محاسبات  سیم بکسل'!C45,'محاسبات  سیم بکسل'!C51)</f>
        <v>1.6184079800890112</v>
      </c>
      <c r="J39" s="637" t="s">
        <v>310</v>
      </c>
      <c r="K39" s="704"/>
      <c r="L39" s="565">
        <f>IF(G39&lt;0,1,0)</f>
        <v>0</v>
      </c>
    </row>
    <row r="40" spans="1:12" ht="18.75">
      <c r="A40" s="704"/>
      <c r="B40" s="428" t="s">
        <v>411</v>
      </c>
      <c r="C40" s="438" t="s">
        <v>19</v>
      </c>
      <c r="D40" s="441">
        <f>XP</f>
        <v>40</v>
      </c>
      <c r="E40" s="633" t="s">
        <v>280</v>
      </c>
      <c r="F40" s="466"/>
      <c r="G40" s="783" t="s">
        <v>604</v>
      </c>
      <c r="H40" s="784"/>
      <c r="I40" s="485">
        <f>EXP(f2.*α)</f>
        <v>1.6325713650008902</v>
      </c>
      <c r="J40" s="641" t="s">
        <v>782</v>
      </c>
      <c r="K40" s="704"/>
      <c r="L40" s="564"/>
    </row>
    <row r="41" spans="1:12" ht="18.75">
      <c r="A41" s="704"/>
      <c r="B41" s="428" t="s">
        <v>413</v>
      </c>
      <c r="C41" s="438" t="s">
        <v>19</v>
      </c>
      <c r="D41" s="441">
        <f>YP</f>
        <v>40</v>
      </c>
      <c r="E41" s="633" t="s">
        <v>281</v>
      </c>
      <c r="F41" s="466"/>
      <c r="G41" s="769">
        <f>I40-I41</f>
        <v>5.355987676852525E-3</v>
      </c>
      <c r="H41" s="770"/>
      <c r="I41" s="484">
        <f>IF('محاسبات  سیم بکسل'!C61&gt;'محاسبات  سیم بکسل'!C67,'محاسبات  سیم بکسل'!C61,'محاسبات  سیم بکسل'!C67)</f>
        <v>1.6272153773240376</v>
      </c>
      <c r="J41" s="642" t="s">
        <v>310</v>
      </c>
      <c r="K41" s="704"/>
      <c r="L41" s="565">
        <f>IF(G41&lt;0,1,0)</f>
        <v>0</v>
      </c>
    </row>
    <row r="42" spans="1:12" ht="18.75">
      <c r="A42" s="704"/>
      <c r="B42" s="428" t="s">
        <v>412</v>
      </c>
      <c r="C42" s="438" t="s">
        <v>19</v>
      </c>
      <c r="D42" s="441">
        <f>XS</f>
        <v>0</v>
      </c>
      <c r="E42" s="633" t="s">
        <v>282</v>
      </c>
      <c r="F42" s="466"/>
      <c r="G42" s="783" t="s">
        <v>605</v>
      </c>
      <c r="H42" s="784"/>
      <c r="I42" s="485">
        <f>EXP(f2.*α)</f>
        <v>1.6325713650008902</v>
      </c>
      <c r="J42" s="643" t="s">
        <v>782</v>
      </c>
      <c r="K42" s="704"/>
      <c r="L42" s="564"/>
    </row>
    <row r="43" spans="1:12" ht="18.75">
      <c r="A43" s="704"/>
      <c r="B43" s="428" t="s">
        <v>414</v>
      </c>
      <c r="C43" s="438" t="s">
        <v>19</v>
      </c>
      <c r="D43" s="441">
        <f>YS</f>
        <v>0</v>
      </c>
      <c r="E43" s="633" t="s">
        <v>283</v>
      </c>
      <c r="F43" s="466"/>
      <c r="G43" s="769">
        <f>I42-I43</f>
        <v>2.7114156358565289E-2</v>
      </c>
      <c r="H43" s="770"/>
      <c r="I43" s="484">
        <f>IF('محاسبات  سیم بکسل'!C77&gt;'محاسبات  سیم بکسل'!C84,'محاسبات  سیم بکسل'!C77,'محاسبات  سیم بکسل'!C84)</f>
        <v>1.6054572086423249</v>
      </c>
      <c r="J43" s="642" t="s">
        <v>310</v>
      </c>
      <c r="K43" s="704"/>
      <c r="L43" s="565">
        <f>IF(G43&lt;0,1,0)</f>
        <v>0</v>
      </c>
    </row>
    <row r="44" spans="1:12" ht="18.75">
      <c r="A44" s="704"/>
      <c r="B44" s="428" t="s">
        <v>415</v>
      </c>
      <c r="C44" s="438" t="s">
        <v>19</v>
      </c>
      <c r="D44" s="441">
        <f>Xi</f>
        <v>1145</v>
      </c>
      <c r="E44" s="633" t="s">
        <v>284</v>
      </c>
      <c r="F44" s="466"/>
      <c r="G44" s="783" t="s">
        <v>606</v>
      </c>
      <c r="H44" s="784"/>
      <c r="I44" s="485">
        <f>EXP(f3.*α)</f>
        <v>3.6473928417204022</v>
      </c>
      <c r="J44" s="641" t="s">
        <v>783</v>
      </c>
      <c r="K44" s="704"/>
      <c r="L44" s="564"/>
    </row>
    <row r="45" spans="1:12" ht="19.5" thickBot="1">
      <c r="A45" s="705"/>
      <c r="B45" s="429" t="s">
        <v>416</v>
      </c>
      <c r="C45" s="439" t="s">
        <v>19</v>
      </c>
      <c r="D45" s="446">
        <f>Yi</f>
        <v>50</v>
      </c>
      <c r="E45" s="634" t="s">
        <v>249</v>
      </c>
      <c r="F45" s="466"/>
      <c r="G45" s="771">
        <f>I45-I44</f>
        <v>6.6064186641935496</v>
      </c>
      <c r="H45" s="772"/>
      <c r="I45" s="487">
        <f>'محاسبات  سیم بکسل'!C92</f>
        <v>10.253811505913951</v>
      </c>
      <c r="J45" s="644" t="s">
        <v>310</v>
      </c>
      <c r="K45" s="705"/>
      <c r="L45" s="565">
        <f>IF(G45&lt;0,1,0)</f>
        <v>0</v>
      </c>
    </row>
    <row r="46" spans="1:12" ht="18.75">
      <c r="A46" s="703" t="s">
        <v>421</v>
      </c>
      <c r="B46" s="427" t="s">
        <v>636</v>
      </c>
      <c r="C46" s="786" t="str">
        <f>'ورودی ها'!C56</f>
        <v>G-Wolf F819 W-FE</v>
      </c>
      <c r="D46" s="786"/>
      <c r="E46" s="445" t="str">
        <f>INDEX(Rope_Type_Table,Rope_Type,2)</f>
        <v>گوستاو ولف</v>
      </c>
      <c r="F46" s="466"/>
      <c r="G46" s="436" t="s">
        <v>455</v>
      </c>
      <c r="H46" s="452" t="s">
        <v>63</v>
      </c>
      <c r="I46" s="488">
        <f>Neqt</f>
        <v>8.2266666666666683</v>
      </c>
      <c r="J46" s="637" t="s">
        <v>317</v>
      </c>
      <c r="K46" s="791" t="s">
        <v>609</v>
      </c>
      <c r="L46" s="564"/>
    </row>
    <row r="47" spans="1:12" ht="18.75">
      <c r="A47" s="704"/>
      <c r="B47" s="428" t="s">
        <v>637</v>
      </c>
      <c r="C47" s="438" t="s">
        <v>19</v>
      </c>
      <c r="D47" s="447">
        <f>dsr</f>
        <v>10</v>
      </c>
      <c r="E47" s="633" t="s">
        <v>285</v>
      </c>
      <c r="F47" s="466"/>
      <c r="G47" s="436" t="s">
        <v>188</v>
      </c>
      <c r="H47" s="452" t="s">
        <v>63</v>
      </c>
      <c r="I47" s="489">
        <f>Kp*(Nps+4*Npr)</f>
        <v>3</v>
      </c>
      <c r="J47" s="637" t="s">
        <v>784</v>
      </c>
      <c r="K47" s="792"/>
      <c r="L47" s="564"/>
    </row>
    <row r="48" spans="1:12" ht="18.75">
      <c r="A48" s="704"/>
      <c r="B48" s="428" t="s">
        <v>47</v>
      </c>
      <c r="C48" s="438" t="s">
        <v>48</v>
      </c>
      <c r="D48" s="441">
        <f>nS</f>
        <v>4</v>
      </c>
      <c r="E48" s="633" t="s">
        <v>286</v>
      </c>
      <c r="F48" s="466"/>
      <c r="G48" s="436" t="s">
        <v>634</v>
      </c>
      <c r="H48" s="452" t="s">
        <v>63</v>
      </c>
      <c r="I48" s="488">
        <f>Sf_cur</f>
        <v>24.261424025253621</v>
      </c>
      <c r="J48" s="637" t="s">
        <v>462</v>
      </c>
      <c r="K48" s="792"/>
      <c r="L48" s="564"/>
    </row>
    <row r="49" spans="1:17" ht="17.25">
      <c r="A49" s="704"/>
      <c r="B49" s="430" t="s">
        <v>217</v>
      </c>
      <c r="C49" s="448" t="str">
        <f>'ورودی ها'!C59</f>
        <v>2:1</v>
      </c>
      <c r="D49" s="449">
        <f>r.</f>
        <v>2</v>
      </c>
      <c r="E49" s="636" t="s">
        <v>57</v>
      </c>
      <c r="F49" s="466"/>
      <c r="G49" s="436" t="s">
        <v>635</v>
      </c>
      <c r="H49" s="452" t="s">
        <v>63</v>
      </c>
      <c r="I49" s="488">
        <f>Sf_min</f>
        <v>19.516635745597661</v>
      </c>
      <c r="J49" s="645">
        <f>Sf_cur-Sf_min</f>
        <v>4.7447882796559604</v>
      </c>
      <c r="K49" s="792"/>
      <c r="L49" s="565">
        <f>IF(J49&lt;0,1,0)</f>
        <v>0</v>
      </c>
    </row>
    <row r="50" spans="1:17" ht="18.75">
      <c r="A50" s="704"/>
      <c r="B50" s="428" t="s">
        <v>49</v>
      </c>
      <c r="C50" s="438" t="s">
        <v>48</v>
      </c>
      <c r="D50" s="441">
        <f>nt</f>
        <v>1</v>
      </c>
      <c r="E50" s="633" t="s">
        <v>287</v>
      </c>
      <c r="F50" s="466"/>
      <c r="G50" s="800" t="str">
        <f>IF(Groove_Type="V","چک مجدد شیار v زیر برش دار و سخت نشده (قبل از خورده شدن و تبدیل شدن به U)","")</f>
        <v/>
      </c>
      <c r="H50" s="801"/>
      <c r="I50" s="801"/>
      <c r="J50" s="802"/>
      <c r="K50" s="792"/>
      <c r="L50" s="564"/>
      <c r="Q50" s="509"/>
    </row>
    <row r="51" spans="1:17" ht="18.75">
      <c r="A51" s="704"/>
      <c r="B51" s="430" t="s">
        <v>51</v>
      </c>
      <c r="C51" s="448" t="s">
        <v>161</v>
      </c>
      <c r="D51" s="450">
        <f>mt</f>
        <v>0.45</v>
      </c>
      <c r="E51" s="636" t="s">
        <v>288</v>
      </c>
      <c r="F51" s="490"/>
      <c r="G51" s="436" t="str">
        <f>IF(Groove_Type="V","عدد معادل فلکه‌ی کششی","")</f>
        <v/>
      </c>
      <c r="H51" s="452" t="str">
        <f>IF(Groove_Type="V","-","")</f>
        <v/>
      </c>
      <c r="I51" s="488" t="str">
        <f>IF(Groove_Type="V",'محاسبات  سیم بکسل'!C116,"")</f>
        <v/>
      </c>
      <c r="J51" s="637" t="str">
        <f>IF(Groove_Type="V","Nequiv(t) =","")</f>
        <v/>
      </c>
      <c r="K51" s="792"/>
      <c r="L51" s="564"/>
    </row>
    <row r="52" spans="1:17" ht="19.5" thickBot="1">
      <c r="A52" s="704"/>
      <c r="B52" s="428" t="s">
        <v>467</v>
      </c>
      <c r="C52" s="438" t="s">
        <v>48</v>
      </c>
      <c r="D52" s="441">
        <f>nc</f>
        <v>0</v>
      </c>
      <c r="E52" s="633" t="s">
        <v>289</v>
      </c>
      <c r="F52" s="466"/>
      <c r="G52" s="491" t="str">
        <f>IF(Groove_Type="V","حداقل ضریب اطمینان مورد نیاز","")</f>
        <v/>
      </c>
      <c r="H52" s="454" t="str">
        <f>IF(Groove_Type="V","-","")</f>
        <v/>
      </c>
      <c r="I52" s="613" t="str">
        <f>IF(Groove_Type="V",'محاسبات  سیم بکسل'!C118,"")</f>
        <v/>
      </c>
      <c r="J52" s="646" t="str">
        <f>IF(Groove_Type="V",IF(I52&gt;$I$48,"&lt;-Warning-&gt; Sf_cur &lt; Sf_min =","&lt;-OK-&gt;  Sf_cur &gt; Sf_min ="),"")</f>
        <v/>
      </c>
      <c r="K52" s="793"/>
      <c r="L52" s="564"/>
      <c r="M52" s="593">
        <f>SUM(L36:L52)</f>
        <v>0</v>
      </c>
    </row>
    <row r="53" spans="1:17" ht="18.75">
      <c r="A53" s="704"/>
      <c r="B53" s="428" t="s">
        <v>452</v>
      </c>
      <c r="C53" s="438" t="s">
        <v>161</v>
      </c>
      <c r="D53" s="447" t="str">
        <f>IF(nc=0,"N/A",mcr)</f>
        <v>N/A</v>
      </c>
      <c r="E53" s="633" t="s">
        <v>390</v>
      </c>
      <c r="F53" s="466"/>
      <c r="G53" s="436" t="s">
        <v>915</v>
      </c>
      <c r="H53" s="452" t="s">
        <v>37</v>
      </c>
      <c r="I53" s="453">
        <f>4*gn*(P+Q)</f>
        <v>62784</v>
      </c>
      <c r="J53" s="637" t="s">
        <v>785</v>
      </c>
      <c r="K53" s="791" t="s">
        <v>626</v>
      </c>
      <c r="L53" s="564"/>
    </row>
    <row r="54" spans="1:17" ht="18.75">
      <c r="A54" s="704"/>
      <c r="B54" s="428" t="s">
        <v>232</v>
      </c>
      <c r="C54" s="438" t="s">
        <v>46</v>
      </c>
      <c r="D54" s="447" t="str">
        <f>IF(nc=0,"N/A",mPTD)</f>
        <v>N/A</v>
      </c>
      <c r="E54" s="633" t="s">
        <v>769</v>
      </c>
      <c r="F54" s="466"/>
      <c r="G54" s="436" t="s">
        <v>916</v>
      </c>
      <c r="H54" s="452" t="s">
        <v>37</v>
      </c>
      <c r="I54" s="453">
        <f>4*gn*(P+q.*Q)</f>
        <v>44576.639999999999</v>
      </c>
      <c r="J54" s="637" t="s">
        <v>786</v>
      </c>
      <c r="K54" s="792"/>
      <c r="L54" s="564"/>
    </row>
    <row r="55" spans="1:17" ht="18.75">
      <c r="A55" s="704"/>
      <c r="B55" s="430" t="s">
        <v>52</v>
      </c>
      <c r="C55" s="448" t="s">
        <v>46</v>
      </c>
      <c r="D55" s="449" t="str">
        <f>IF(nc=0,"N/A",MComp)</f>
        <v>N/A</v>
      </c>
      <c r="E55" s="636" t="s">
        <v>290</v>
      </c>
      <c r="F55" s="466"/>
      <c r="G55" s="436" t="s">
        <v>457</v>
      </c>
      <c r="H55" s="452" t="s">
        <v>24</v>
      </c>
      <c r="I55" s="453">
        <v>1500</v>
      </c>
      <c r="J55" s="637" t="s">
        <v>209</v>
      </c>
      <c r="K55" s="792"/>
      <c r="L55" s="564"/>
    </row>
    <row r="56" spans="1:17" ht="18.75">
      <c r="A56" s="704"/>
      <c r="B56" s="428" t="s">
        <v>53</v>
      </c>
      <c r="C56" s="438" t="s">
        <v>37</v>
      </c>
      <c r="D56" s="441">
        <f>FRCar</f>
        <v>200</v>
      </c>
      <c r="E56" s="633" t="s">
        <v>770</v>
      </c>
      <c r="F56" s="466"/>
      <c r="G56" s="436" t="s">
        <v>639</v>
      </c>
      <c r="H56" s="452" t="s">
        <v>24</v>
      </c>
      <c r="I56" s="453">
        <f>Mgb</f>
        <v>600</v>
      </c>
      <c r="J56" s="637" t="s">
        <v>273</v>
      </c>
      <c r="K56" s="792"/>
      <c r="L56" s="564"/>
    </row>
    <row r="57" spans="1:17" ht="18.75">
      <c r="A57" s="704"/>
      <c r="B57" s="428" t="s">
        <v>54</v>
      </c>
      <c r="C57" s="438" t="s">
        <v>37</v>
      </c>
      <c r="D57" s="441">
        <f>FRCwt</f>
        <v>100</v>
      </c>
      <c r="E57" s="633" t="s">
        <v>771</v>
      </c>
      <c r="F57" s="466"/>
      <c r="G57" s="436" t="s">
        <v>640</v>
      </c>
      <c r="H57" s="452" t="s">
        <v>37</v>
      </c>
      <c r="I57" s="453">
        <f>'محاسبات دیگر '!C16</f>
        <v>39081.627359999999</v>
      </c>
      <c r="J57" s="637" t="s">
        <v>787</v>
      </c>
      <c r="K57" s="792"/>
      <c r="L57" s="564"/>
    </row>
    <row r="58" spans="1:17" ht="19.5" thickBot="1">
      <c r="A58" s="705"/>
      <c r="B58" s="429" t="s">
        <v>224</v>
      </c>
      <c r="C58" s="439" t="s">
        <v>324</v>
      </c>
      <c r="D58" s="451">
        <f>a.</f>
        <v>0.5</v>
      </c>
      <c r="E58" s="634" t="s">
        <v>58</v>
      </c>
      <c r="F58" s="466"/>
      <c r="G58" s="491" t="s">
        <v>914</v>
      </c>
      <c r="H58" s="454" t="s">
        <v>37</v>
      </c>
      <c r="I58" s="455">
        <f>H.*gn*mg+Fk</f>
        <v>19171.094400000002</v>
      </c>
      <c r="J58" s="639" t="s">
        <v>788</v>
      </c>
      <c r="K58" s="793"/>
      <c r="L58" s="566"/>
    </row>
    <row r="59" spans="1:17" ht="18.600000000000001" customHeight="1">
      <c r="A59" s="703" t="s">
        <v>420</v>
      </c>
      <c r="B59" s="427" t="s">
        <v>612</v>
      </c>
      <c r="C59" s="437" t="s">
        <v>48</v>
      </c>
      <c r="D59" s="440">
        <f>Npr</f>
        <v>0</v>
      </c>
      <c r="E59" s="632" t="s">
        <v>291</v>
      </c>
      <c r="F59" s="466"/>
      <c r="G59" s="436" t="s">
        <v>218</v>
      </c>
      <c r="H59" s="452" t="s">
        <v>63</v>
      </c>
      <c r="I59" s="493">
        <f>ηs</f>
        <v>0.9</v>
      </c>
      <c r="J59" s="633" t="s">
        <v>789</v>
      </c>
      <c r="K59" s="791" t="s">
        <v>624</v>
      </c>
      <c r="L59" s="565"/>
    </row>
    <row r="60" spans="1:17" ht="18.75">
      <c r="A60" s="704"/>
      <c r="B60" s="431" t="s">
        <v>613</v>
      </c>
      <c r="C60" s="519" t="s">
        <v>212</v>
      </c>
      <c r="D60" s="519" t="s">
        <v>458</v>
      </c>
      <c r="E60" s="520" t="s">
        <v>213</v>
      </c>
      <c r="F60" s="466"/>
      <c r="G60" s="436" t="s">
        <v>708</v>
      </c>
      <c r="H60" s="452" t="s">
        <v>24</v>
      </c>
      <c r="I60" s="493">
        <f>1-(iDPcar+iDPcwt+iPcar+iPcwt)*1%</f>
        <v>0.96</v>
      </c>
      <c r="J60" s="633" t="s">
        <v>790</v>
      </c>
      <c r="K60" s="792"/>
      <c r="L60" s="565"/>
    </row>
    <row r="61" spans="1:17" ht="18.75">
      <c r="A61" s="704"/>
      <c r="B61" s="428" t="s">
        <v>222</v>
      </c>
      <c r="C61" s="521">
        <f>iDPcar</f>
        <v>1</v>
      </c>
      <c r="D61" s="530">
        <f>IF(iDPcar=0,"N/A",dDPcar)</f>
        <v>400</v>
      </c>
      <c r="E61" s="548" t="str">
        <f>IF(iDPcar=0,"N/A",'ورودی ها'!E74)</f>
        <v>پلیمری</v>
      </c>
      <c r="F61" s="466"/>
      <c r="G61" s="436" t="s">
        <v>182</v>
      </c>
      <c r="H61" s="452" t="s">
        <v>104</v>
      </c>
      <c r="I61" s="494">
        <f>Wout</f>
        <v>11</v>
      </c>
      <c r="J61" s="647" t="s">
        <v>272</v>
      </c>
      <c r="K61" s="792"/>
      <c r="L61" s="565"/>
    </row>
    <row r="62" spans="1:17" ht="17.25">
      <c r="A62" s="704"/>
      <c r="B62" s="428" t="s">
        <v>221</v>
      </c>
      <c r="C62" s="521">
        <f>iDPcwt</f>
        <v>0</v>
      </c>
      <c r="D62" s="530" t="str">
        <f>IF(iDPcwt=0, "N/A",dDPcwt)</f>
        <v>N/A</v>
      </c>
      <c r="E62" s="527" t="str">
        <f>IF(iDPcwt=0,"N/A",'ورودی ها'!E75)</f>
        <v>N/A</v>
      </c>
      <c r="F62" s="466"/>
      <c r="G62" s="436" t="s">
        <v>642</v>
      </c>
      <c r="H62" s="452" t="s">
        <v>24</v>
      </c>
      <c r="I62" s="453">
        <f>Cs</f>
        <v>1409.9399999999998</v>
      </c>
      <c r="J62" s="633" t="str">
        <f>IF(I62&gt;CsMAX,"&lt;-Error-&gt;  Csmax ≤ Cs =","&lt;-OK-&gt;   Csmax &gt; Cs =")</f>
        <v>&lt;-OK-&gt;   Csmax &gt; Cs =</v>
      </c>
      <c r="K62" s="792"/>
      <c r="L62" s="565">
        <f>IF(I62&gt;CsMAX,1,0)</f>
        <v>0</v>
      </c>
    </row>
    <row r="63" spans="1:17" ht="18.75">
      <c r="A63" s="704"/>
      <c r="B63" s="428" t="s">
        <v>219</v>
      </c>
      <c r="C63" s="521">
        <f>iPcar</f>
        <v>2</v>
      </c>
      <c r="D63" s="530">
        <f>IF(iPcar=0,"N/A",dPcar)</f>
        <v>400</v>
      </c>
      <c r="E63" s="528" t="str">
        <f>IF(iPcar=0,"N/A",'ورودی ها'!E76)</f>
        <v>پلیمری</v>
      </c>
      <c r="F63" s="466"/>
      <c r="G63" s="436" t="s">
        <v>710</v>
      </c>
      <c r="H63" s="452" t="s">
        <v>24</v>
      </c>
      <c r="I63" s="453">
        <f>qm</f>
        <v>281.97916666666669</v>
      </c>
      <c r="J63" s="633" t="s">
        <v>791</v>
      </c>
      <c r="K63" s="792"/>
      <c r="L63" s="565"/>
    </row>
    <row r="64" spans="1:17" ht="19.5" thickBot="1">
      <c r="A64" s="705"/>
      <c r="B64" s="429" t="s">
        <v>220</v>
      </c>
      <c r="C64" s="522">
        <f>iPcwt</f>
        <v>1</v>
      </c>
      <c r="D64" s="531">
        <f>IF(iPcwt=0,"N/A",dPcwt)</f>
        <v>440</v>
      </c>
      <c r="E64" s="529" t="str">
        <f>IF(iPcwt=0,"N/A",'ورودی ها'!E77)</f>
        <v>پلیمری</v>
      </c>
      <c r="F64" s="466"/>
      <c r="G64" s="436" t="s">
        <v>747</v>
      </c>
      <c r="H64" s="452" t="s">
        <v>104</v>
      </c>
      <c r="I64" s="494">
        <f>Wmid</f>
        <v>8.4293333333333358</v>
      </c>
      <c r="J64" s="633" t="s">
        <v>792</v>
      </c>
      <c r="K64" s="792"/>
      <c r="L64" s="565">
        <f>IF(Wmid&gt;Wout,1,0)</f>
        <v>0</v>
      </c>
    </row>
    <row r="65" spans="1:13" ht="19.149999999999999" customHeight="1" thickBot="1">
      <c r="A65" s="703" t="s">
        <v>671</v>
      </c>
      <c r="B65" s="523" t="s">
        <v>678</v>
      </c>
      <c r="C65" s="524" t="s">
        <v>673</v>
      </c>
      <c r="D65" s="524" t="s">
        <v>173</v>
      </c>
      <c r="E65" s="525" t="s">
        <v>672</v>
      </c>
      <c r="F65" s="465"/>
      <c r="G65" s="436" t="s">
        <v>735</v>
      </c>
      <c r="H65" s="452" t="s">
        <v>104</v>
      </c>
      <c r="I65" s="494">
        <f>Wmax</f>
        <v>9.8354333333333344</v>
      </c>
      <c r="J65" s="633" t="s">
        <v>793</v>
      </c>
      <c r="K65" s="793"/>
      <c r="L65" s="565">
        <f>IF(Wmax&gt;1.2*Wout,1,0)</f>
        <v>0</v>
      </c>
    </row>
    <row r="66" spans="1:13" ht="17.649999999999999" customHeight="1">
      <c r="A66" s="704"/>
      <c r="B66" s="428" t="s">
        <v>674</v>
      </c>
      <c r="C66" s="521">
        <f>IF(En_D1=TRUE,DW1.,"N/A")</f>
        <v>900</v>
      </c>
      <c r="D66" s="521" t="str">
        <f>IF(En_D1=TRUE,DT1.,"N/A")</f>
        <v>تلسکوپی 2 لنگه</v>
      </c>
      <c r="E66" s="526">
        <f>IF(En_D1=TRUE,DD1.,"N/A")</f>
        <v>60</v>
      </c>
      <c r="F66" s="490"/>
      <c r="G66" s="797" t="s">
        <v>176</v>
      </c>
      <c r="H66" s="798"/>
      <c r="I66" s="798"/>
      <c r="J66" s="799"/>
      <c r="K66" s="791"/>
      <c r="L66" s="565"/>
    </row>
    <row r="67" spans="1:13" ht="18.75">
      <c r="A67" s="704"/>
      <c r="B67" s="428" t="s">
        <v>675</v>
      </c>
      <c r="C67" s="521" t="str">
        <f>IF(En_D2=TRUE,DW2.,"N/A")</f>
        <v>N/A</v>
      </c>
      <c r="D67" s="530" t="str">
        <f>IF(En_D2=TRUE,DT2.,"N/A")</f>
        <v>N/A</v>
      </c>
      <c r="E67" s="527" t="str">
        <f>IF(En_D2=TRUE,DD2.,"N/A")</f>
        <v>N/A</v>
      </c>
      <c r="F67" s="490"/>
      <c r="G67" s="436" t="s">
        <v>179</v>
      </c>
      <c r="H67" s="452" t="s">
        <v>293</v>
      </c>
      <c r="I67" s="495">
        <f>Atotal</f>
        <v>1.964</v>
      </c>
      <c r="J67" s="633" t="s">
        <v>794</v>
      </c>
      <c r="K67" s="792"/>
      <c r="L67" s="565"/>
    </row>
    <row r="68" spans="1:13" ht="17.649999999999999" customHeight="1">
      <c r="A68" s="704"/>
      <c r="B68" s="428" t="s">
        <v>676</v>
      </c>
      <c r="C68" s="521" t="str">
        <f>IF(En_D3=TRUE,DW3.,"N/A")</f>
        <v>N/A</v>
      </c>
      <c r="D68" s="530" t="str">
        <f>IF(En_D3=TRUE,DT3.,"N/A")</f>
        <v>N/A</v>
      </c>
      <c r="E68" s="528" t="str">
        <f>IF(En_D3=TRUE,DD3.,"N/A")</f>
        <v>N/A</v>
      </c>
      <c r="G68" s="436" t="s">
        <v>181</v>
      </c>
      <c r="H68" s="452" t="s">
        <v>293</v>
      </c>
      <c r="I68" s="495">
        <f>IF(Passengers_No.&gt;20,3.13+(Passengers_No.-20)*0.115,VLOOKUP(Passengers_No.,Min_Car_Area,2))</f>
        <v>1.73</v>
      </c>
      <c r="J68" s="648">
        <f>Atotal-Amin</f>
        <v>0.23399999999999999</v>
      </c>
      <c r="K68" s="792"/>
      <c r="L68" s="565">
        <f>IF(J68&lt;0,1,0)</f>
        <v>0</v>
      </c>
    </row>
    <row r="69" spans="1:13" ht="18" customHeight="1" thickBot="1">
      <c r="A69" s="705"/>
      <c r="B69" s="429" t="s">
        <v>677</v>
      </c>
      <c r="C69" s="522" t="str">
        <f>IF(En_D4=TRUE,DW4.,"N/A")</f>
        <v>N/A</v>
      </c>
      <c r="D69" s="531" t="str">
        <f>IF(En_D4=TRUE,DT4.,"N/A")</f>
        <v>N/A</v>
      </c>
      <c r="E69" s="529" t="str">
        <f>IF(En_D4=TRUE,DD4.,"N/A")</f>
        <v>N/A</v>
      </c>
      <c r="G69" s="491" t="s">
        <v>180</v>
      </c>
      <c r="H69" s="454" t="s">
        <v>293</v>
      </c>
      <c r="I69" s="497">
        <f>IF(Q&gt;2500, 5+(Q-2500)/100*0.16,VLOOKUP(Q,Max_Car_Area,2)+(VLOOKUP(INDEX(loads,MATCH(Q,loads,1)+1),Max_Car_Area,2)-VLOOKUP(Q,Max_Car_Area,2))*(Q-INDEX(loads,MATCH(Q,loads,1)))/(INDEX(loads,MATCH(Q,loads,1)+1)-INDEX(loads,MATCH(Q,loads,1))))</f>
        <v>2</v>
      </c>
      <c r="J69" s="649">
        <f>Amax-Atotal</f>
        <v>3.6000000000000032E-2</v>
      </c>
      <c r="K69" s="793"/>
      <c r="L69" s="565">
        <f>IF(J69&lt;0,1,0)</f>
        <v>0</v>
      </c>
      <c r="M69" s="593">
        <f>SUM(L59:L70)</f>
        <v>0</v>
      </c>
    </row>
    <row r="70" spans="1:13" s="621" customFormat="1" ht="24" customHeight="1" thickBot="1">
      <c r="A70" s="788" t="str">
        <f>IF(D2d&lt;&gt;0,"به علت عدم تطابق ورودی‌ها با استاندارد ملی، در کمیته فنی بررسی شود", IF(InputErr&lt;&gt;0, "داده های ورودی مغایرت دارد",IF(AND(Guide_Rail_Type=13,OR(Rope_Type=10,Rope_Type=11)),"مستندات و مدارک فنی مربوط به سیم بکسل و ریل ارائه شود",IF(Guide_Rail_Type=13,"مستندات و مدارک فنی مربوط به ریل‌ ارائه شود",IF(OR(Rope_Type=10,Rope_Type=11),"مستندات و مدارک فنی مربوط به سیم بکسل ارائه شود","")))))</f>
        <v/>
      </c>
      <c r="B70" s="789"/>
      <c r="C70" s="789"/>
      <c r="D70" s="789"/>
      <c r="E70" s="790"/>
      <c r="F70" s="619"/>
      <c r="G70" s="788" t="str">
        <f xml:space="preserve"> IF(SumErr&lt;&gt;0, "محاسبات مطابق با استاندارد 1393: 1-6303 تجدید نظر اول مردود است","محاسبات مطابق با استاندارد 1393: 1-6303  تایید است تجدید نظر اول ")</f>
        <v xml:space="preserve">محاسبات مطابق با استاندارد 1393: 1-6303  تایید است تجدید نظر اول </v>
      </c>
      <c r="H70" s="789"/>
      <c r="I70" s="789"/>
      <c r="J70" s="789"/>
      <c r="K70" s="790"/>
      <c r="L70" s="620"/>
      <c r="M70" s="56">
        <f>SUM(M16:M69)</f>
        <v>0</v>
      </c>
    </row>
    <row r="71" spans="1:13">
      <c r="K71" s="501"/>
    </row>
    <row r="72" spans="1:13">
      <c r="K72" s="501"/>
    </row>
    <row r="73" spans="1:13">
      <c r="K73" s="501"/>
    </row>
    <row r="74" spans="1:13">
      <c r="K74" s="502"/>
    </row>
    <row r="75" spans="1:13">
      <c r="K75" s="501"/>
    </row>
    <row r="76" spans="1:13">
      <c r="K76" s="501"/>
    </row>
    <row r="77" spans="1:13">
      <c r="K77" s="503"/>
    </row>
  </sheetData>
  <sheetProtection algorithmName="SHA-512" hashValue="KFgChYEQZfl42XbGiNd2IsRub/JMZ6nBVnjh8utLU85dOwaFWxuIqjdzxzkj5glTnTxfZM9a5iQs3t5UwoH0DQ==" saltValue="6xU75fZEuH6YujWG4OMpgg==" spinCount="100000" sheet="1" objects="1" scenarios="1" selectLockedCells="1" selectUnlockedCells="1"/>
  <customSheetViews>
    <customSheetView guid="{ADB28B25-780E-4315-A7F7-F519CAE45D94}" showPageBreaks="1" showGridLines="0" showRowCol="0" fitToPage="1" topLeftCell="A21">
      <selection activeCell="G12" sqref="G12"/>
      <pageMargins left="0.23622047244094491" right="0.39370078740157483" top="0.39370078740157483" bottom="0.23622047244094491" header="0.19685039370078741" footer="0.19685039370078741"/>
      <pageSetup paperSize="9" scale="66" fitToHeight="0" orientation="portrait" r:id="rId1"/>
    </customSheetView>
  </customSheetViews>
  <mergeCells count="37">
    <mergeCell ref="A70:E70"/>
    <mergeCell ref="G70:K70"/>
    <mergeCell ref="K59:K65"/>
    <mergeCell ref="K66:K69"/>
    <mergeCell ref="K3:K12"/>
    <mergeCell ref="K13:K31"/>
    <mergeCell ref="K32:K45"/>
    <mergeCell ref="K46:K52"/>
    <mergeCell ref="K53:K58"/>
    <mergeCell ref="G66:J66"/>
    <mergeCell ref="G50:J50"/>
    <mergeCell ref="C4:E4"/>
    <mergeCell ref="C5:E5"/>
    <mergeCell ref="G41:H41"/>
    <mergeCell ref="G40:H40"/>
    <mergeCell ref="G38:H38"/>
    <mergeCell ref="G39:H39"/>
    <mergeCell ref="G42:H42"/>
    <mergeCell ref="G44:H44"/>
    <mergeCell ref="C46:D46"/>
    <mergeCell ref="C18:D18"/>
    <mergeCell ref="A7:A17"/>
    <mergeCell ref="A31:A45"/>
    <mergeCell ref="A65:A69"/>
    <mergeCell ref="G1:K1"/>
    <mergeCell ref="G43:H43"/>
    <mergeCell ref="G45:H45"/>
    <mergeCell ref="A1:E1"/>
    <mergeCell ref="A2:A5"/>
    <mergeCell ref="C2:E2"/>
    <mergeCell ref="C3:E3"/>
    <mergeCell ref="G13:J13"/>
    <mergeCell ref="G21:J21"/>
    <mergeCell ref="G26:J26"/>
    <mergeCell ref="A59:A64"/>
    <mergeCell ref="A18:A30"/>
    <mergeCell ref="A46:A58"/>
  </mergeCells>
  <conditionalFormatting sqref="D47">
    <cfRule type="containsText" dxfId="59" priority="17" stopIfTrue="1" operator="containsText" text="Error">
      <formula>NOT(ISERROR(SEARCH("Error",D47)))</formula>
    </cfRule>
  </conditionalFormatting>
  <conditionalFormatting sqref="D11">
    <cfRule type="cellIs" dxfId="58" priority="20" operator="lessThan">
      <formula>$D$10*75</formula>
    </cfRule>
  </conditionalFormatting>
  <conditionalFormatting sqref="D22">
    <cfRule type="cellIs" dxfId="57" priority="19" operator="lessThan">
      <formula>40*dsr</formula>
    </cfRule>
  </conditionalFormatting>
  <conditionalFormatting sqref="I48">
    <cfRule type="cellIs" dxfId="56" priority="12" operator="lessThan">
      <formula>Sf_min</formula>
    </cfRule>
  </conditionalFormatting>
  <conditionalFormatting sqref="I62:J62">
    <cfRule type="expression" dxfId="55" priority="11">
      <formula>$I$62&gt;CsMAX</formula>
    </cfRule>
  </conditionalFormatting>
  <conditionalFormatting sqref="I64">
    <cfRule type="expression" dxfId="54" priority="10">
      <formula>$I$64&gt;Wout</formula>
    </cfRule>
  </conditionalFormatting>
  <conditionalFormatting sqref="I65">
    <cfRule type="expression" dxfId="53" priority="9">
      <formula>$I$65&gt;Wout*1.2</formula>
    </cfRule>
  </conditionalFormatting>
  <conditionalFormatting sqref="I67">
    <cfRule type="cellIs" dxfId="52" priority="8" operator="notBetween">
      <formula>Amin</formula>
      <formula>Amax</formula>
    </cfRule>
  </conditionalFormatting>
  <conditionalFormatting sqref="I49">
    <cfRule type="cellIs" dxfId="51" priority="2" operator="greaterThan">
      <formula>$I$48</formula>
    </cfRule>
  </conditionalFormatting>
  <conditionalFormatting sqref="I52:J52">
    <cfRule type="expression" dxfId="50" priority="1">
      <formula>AND($I$52&gt;$I$48,$I$52&lt;&gt;"")</formula>
    </cfRule>
  </conditionalFormatting>
  <conditionalFormatting sqref="I39">
    <cfRule type="cellIs" dxfId="49" priority="85" operator="greaterThan">
      <formula>$I$38</formula>
    </cfRule>
    <cfRule type="cellIs" dxfId="48" priority="86" operator="greaterThan">
      <formula>$C$48</formula>
    </cfRule>
  </conditionalFormatting>
  <conditionalFormatting sqref="I41">
    <cfRule type="cellIs" dxfId="47" priority="87" operator="greaterThan">
      <formula>$I$40</formula>
    </cfRule>
    <cfRule type="cellIs" dxfId="46" priority="88" operator="greaterThan">
      <formula>$C$60</formula>
    </cfRule>
  </conditionalFormatting>
  <conditionalFormatting sqref="I43">
    <cfRule type="cellIs" dxfId="45" priority="89" operator="greaterThan">
      <formula>$I$42</formula>
    </cfRule>
    <cfRule type="cellIs" dxfId="44" priority="90" operator="greaterThan">
      <formula>$C$60</formula>
    </cfRule>
  </conditionalFormatting>
  <conditionalFormatting sqref="I45">
    <cfRule type="cellIs" dxfId="43" priority="91" operator="lessThan">
      <formula>$I$44</formula>
    </cfRule>
    <cfRule type="cellIs" dxfId="42" priority="92" operator="lessThan">
      <formula>$I$44</formula>
    </cfRule>
    <cfRule type="cellIs" dxfId="41" priority="93" operator="lessThan">
      <formula>$C$109</formula>
    </cfRule>
  </conditionalFormatting>
  <dataValidations count="4">
    <dataValidation allowBlank="1" promptTitle="تعيين تعداد طبقات" prompt="از ليست مقابل طبقات مورد نظر را وارد كنيد" sqref="C8"/>
    <dataValidation operator="greaterThan" sqref="D28"/>
    <dataValidation errorStyle="warning" operator="greaterThanOrEqual" allowBlank="1" showInputMessage="1" showErrorMessage="1" sqref="I49 I52"/>
    <dataValidation type="list" allowBlank="1" showInputMessage="1" showErrorMessage="1" sqref="F66:F67 K75:K76">
      <formula1>" چدنی, پلیمری"</formula1>
    </dataValidation>
  </dataValidations>
  <printOptions horizontalCentered="1"/>
  <pageMargins left="0.23622047244094491" right="0.23622047244094491" top="0.98425196850393704" bottom="0.74803149606299213" header="0.31496062992125984" footer="0.31496062992125984"/>
  <pageSetup paperSize="9" fitToWidth="2" fitToHeight="2" orientation="portrait" cellComments="atEnd" errors="NA" r:id="rId2"/>
  <headerFooter>
    <oddHeader>&amp;C&amp;"Tahoma,Bold"&amp;A&amp;R&amp;"Tahoma,Regular"&amp;12محاسبات استاندارد ملی 1-6303
ویرایش جدید سال 93&amp;L&amp;12&amp;"Tahoma"شماره پرونده: 223_x000D_شناسه ملي آسانسور: 9089</oddHeader>
    <oddFooter>&amp;L&amp;D V6.00
&amp;"Tahoma,Regular"&amp;12صفحه &amp;P از &amp;N&amp;R&amp;"Tahoma,Regular"&amp;12صحت کلیه موارد فوق مورد تایید این شرکت میباشد.
مهر و امضای مجاز شرکت عرضه کننده آسانسور:</oddFooter>
  </headerFooter>
  <rowBreaks count="1" manualBreakCount="1">
    <brk id="45" max="10" man="1"/>
  </rowBreaks>
  <ignoredErrors>
    <ignoredError sqref="C67" formula="1"/>
  </ignoredErrors>
  <drawing r:id="rId3"/>
  <mc:AlternateContent xmlns:mc="http://schemas.openxmlformats.org/markup-compatibility/2006">
    <mc:Choice Requires="v">
      <legacyDrawing r:id="rId4"/>
    </mc:Choice>
  </mc:AlternateContent>
  <controls>
    <control shapeId="4104" r:id="rId5" name="CheckBox_D1">
      <controlPr defaultSize="0" disabled="1" autoLine="0" linkedCell="En_D1" r:id="rId6">
        <anchor moveWithCells="1">
          <from>
            <xdr:col>1</xdr:col>
            <xdr:colOff>2209800</xdr:colOff>
            <xdr:row>65</xdr:row>
            <xdr:rowOff>19050</xdr:rowOff>
          </from>
          <to>
            <xdr:col>1</xdr:col>
            <xdr:colOff>2362200</xdr:colOff>
            <xdr:row>66</xdr:row>
            <xdr:rowOff>0</xdr:rowOff>
          </to>
        </anchor>
      </controlPr>
    </control>
    <control shapeId="4105" r:id="rId7" name="CheckBox_D2">
      <controlPr defaultSize="0" disabled="1" autoLine="0" linkedCell="En_D2" r:id="rId8">
        <anchor moveWithCells="1">
          <from>
            <xdr:col>1</xdr:col>
            <xdr:colOff>2209800</xdr:colOff>
            <xdr:row>66</xdr:row>
            <xdr:rowOff>19050</xdr:rowOff>
          </from>
          <to>
            <xdr:col>1</xdr:col>
            <xdr:colOff>2362200</xdr:colOff>
            <xdr:row>66</xdr:row>
            <xdr:rowOff>219075</xdr:rowOff>
          </to>
        </anchor>
      </controlPr>
    </control>
    <control shapeId="4106" r:id="rId9" name="CheckBox_D3">
      <controlPr defaultSize="0" disabled="1" autoLine="0" linkedCell="En_D3" r:id="rId8">
        <anchor moveWithCells="1">
          <from>
            <xdr:col>1</xdr:col>
            <xdr:colOff>2209800</xdr:colOff>
            <xdr:row>67</xdr:row>
            <xdr:rowOff>19050</xdr:rowOff>
          </from>
          <to>
            <xdr:col>1</xdr:col>
            <xdr:colOff>2362200</xdr:colOff>
            <xdr:row>68</xdr:row>
            <xdr:rowOff>0</xdr:rowOff>
          </to>
        </anchor>
      </controlPr>
    </control>
    <control shapeId="4107" r:id="rId10" name="CheckBox_D4">
      <controlPr defaultSize="0" disabled="1" autoLine="0" linkedCell="En_D4" r:id="rId8">
        <anchor moveWithCells="1">
          <from>
            <xdr:col>1</xdr:col>
            <xdr:colOff>2209800</xdr:colOff>
            <xdr:row>68</xdr:row>
            <xdr:rowOff>19050</xdr:rowOff>
          </from>
          <to>
            <xdr:col>1</xdr:col>
            <xdr:colOff>2362200</xdr:colOff>
            <xdr:row>68</xdr:row>
            <xdr:rowOff>219075</xdr:rowOff>
          </to>
        </anchor>
      </controlPr>
    </control>
    <control shapeId="4098" r:id="rId11" name="Check Box 2">
      <controlPr defaultSize="0" autoFill="0" autoLine="0" autoPict="0">
        <anchor moveWithCells="1">
          <from>
            <xdr:col>49</xdr:col>
            <xdr:colOff>0</xdr:colOff>
            <xdr:row>65</xdr:row>
            <xdr:rowOff>190500</xdr:rowOff>
          </from>
          <to>
            <xdr:col>49</xdr:col>
            <xdr:colOff>171450</xdr:colOff>
            <xdr:row>66</xdr:row>
            <xdr:rowOff>171450</xdr:rowOff>
          </to>
        </anchor>
      </controlPr>
    </control>
  </control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EN81_1Old">
    <tabColor rgb="FFAF0000"/>
    <pageSetUpPr fitToPage="1"/>
  </sheetPr>
  <dimension ref="A1:Q69"/>
  <sheetViews>
    <sheetView showRowColHeaders="0" rightToLeft="1" view="pageBreakPreview" topLeftCell="A16" zoomScaleNormal="90" zoomScaleSheetLayoutView="100" workbookViewId="0">
      <selection activeCell="D32" sqref="D32"/>
    </sheetView>
  </sheetViews>
  <sheetFormatPr defaultColWidth="8.69921875" defaultRowHeight="21.6" customHeight="1"/>
  <cols>
    <col min="1" max="1" width="2.69921875" style="498" bestFit="1" customWidth="1"/>
    <col min="2" max="2" width="29.3984375" style="456" bestFit="1" customWidth="1"/>
    <col min="3" max="3" width="6" style="498" customWidth="1"/>
    <col min="4" max="4" width="9.19921875" style="499" customWidth="1"/>
    <col min="5" max="5" width="10.09765625" style="456" customWidth="1"/>
    <col min="6" max="6" width="0.69921875" style="496" customWidth="1"/>
    <col min="7" max="7" width="23.3984375" style="456" customWidth="1"/>
    <col min="8" max="8" width="5.296875" style="500" customWidth="1"/>
    <col min="9" max="9" width="5.69921875" style="499" customWidth="1"/>
    <col min="10" max="10" width="23.8984375" style="456" customWidth="1"/>
    <col min="11" max="11" width="2.69921875" style="504" bestFit="1" customWidth="1"/>
    <col min="12" max="12" width="8.69921875" style="456" hidden="1" customWidth="1"/>
    <col min="13" max="16384" width="8.69921875" style="456"/>
  </cols>
  <sheetData>
    <row r="1" spans="1:12" ht="21.6" customHeight="1" thickBot="1">
      <c r="A1" s="773" t="s">
        <v>404</v>
      </c>
      <c r="B1" s="774"/>
      <c r="C1" s="774"/>
      <c r="D1" s="774"/>
      <c r="E1" s="775"/>
      <c r="F1" s="505"/>
      <c r="G1" s="766" t="s">
        <v>608</v>
      </c>
      <c r="H1" s="767"/>
      <c r="I1" s="767"/>
      <c r="J1" s="767"/>
      <c r="K1" s="768"/>
      <c r="L1" s="562" t="s">
        <v>701</v>
      </c>
    </row>
    <row r="2" spans="1:12" ht="21.6" customHeight="1" thickBot="1">
      <c r="A2" s="703" t="s">
        <v>405</v>
      </c>
      <c r="B2" s="423" t="s">
        <v>5</v>
      </c>
      <c r="C2" s="779">
        <f>File_ID</f>
        <v>0</v>
      </c>
      <c r="D2" s="779"/>
      <c r="E2" s="780"/>
      <c r="F2" s="457"/>
      <c r="G2" s="432" t="s">
        <v>1</v>
      </c>
      <c r="H2" s="433" t="s">
        <v>2</v>
      </c>
      <c r="I2" s="434" t="s">
        <v>3</v>
      </c>
      <c r="J2" s="435" t="s">
        <v>623</v>
      </c>
      <c r="K2" s="506"/>
      <c r="L2" s="564"/>
    </row>
    <row r="3" spans="1:12" ht="21.6" customHeight="1">
      <c r="A3" s="704"/>
      <c r="B3" s="424" t="s">
        <v>496</v>
      </c>
      <c r="C3" s="781">
        <f>Lift_ID</f>
        <v>0</v>
      </c>
      <c r="D3" s="781"/>
      <c r="E3" s="782"/>
      <c r="F3" s="459"/>
      <c r="G3" s="436" t="s">
        <v>184</v>
      </c>
      <c r="H3" s="452" t="s">
        <v>325</v>
      </c>
      <c r="I3" s="441">
        <f>A</f>
        <v>1570</v>
      </c>
      <c r="J3" s="637" t="s">
        <v>203</v>
      </c>
      <c r="K3" s="794" t="s">
        <v>611</v>
      </c>
      <c r="L3" s="564"/>
    </row>
    <row r="4" spans="1:12" ht="21.6" customHeight="1">
      <c r="A4" s="704"/>
      <c r="B4" s="425" t="s">
        <v>6</v>
      </c>
      <c r="C4" s="803" t="str">
        <f>'ورودی ها'!C4</f>
        <v>آراد پایا کیفیت آریا</v>
      </c>
      <c r="D4" s="804"/>
      <c r="E4" s="805"/>
      <c r="F4" s="460"/>
      <c r="G4" s="436" t="s">
        <v>183</v>
      </c>
      <c r="H4" s="452" t="s">
        <v>119</v>
      </c>
      <c r="I4" s="442">
        <f>mg</f>
        <v>12.3</v>
      </c>
      <c r="J4" s="637" t="s">
        <v>204</v>
      </c>
      <c r="K4" s="795"/>
      <c r="L4" s="564"/>
    </row>
    <row r="5" spans="1:12" ht="21.6" customHeight="1">
      <c r="A5" s="704"/>
      <c r="B5" s="812" t="s">
        <v>208</v>
      </c>
      <c r="C5" s="815">
        <f>'ورودی ها'!C5</f>
        <v>0</v>
      </c>
      <c r="D5" s="816"/>
      <c r="E5" s="817"/>
      <c r="F5" s="460"/>
      <c r="G5" s="436" t="s">
        <v>456</v>
      </c>
      <c r="H5" s="452" t="s">
        <v>19</v>
      </c>
      <c r="I5" s="441">
        <f>c.</f>
        <v>10</v>
      </c>
      <c r="J5" s="637" t="s">
        <v>205</v>
      </c>
      <c r="K5" s="795"/>
      <c r="L5" s="564"/>
    </row>
    <row r="6" spans="1:12" ht="21.6" customHeight="1">
      <c r="A6" s="704"/>
      <c r="B6" s="813"/>
      <c r="C6" s="818"/>
      <c r="D6" s="819"/>
      <c r="E6" s="820"/>
      <c r="F6" s="465"/>
      <c r="G6" s="436" t="s">
        <v>688</v>
      </c>
      <c r="H6" s="452" t="s">
        <v>63</v>
      </c>
      <c r="I6" s="441">
        <f>K1.</f>
        <v>2</v>
      </c>
      <c r="J6" s="637" t="s">
        <v>250</v>
      </c>
      <c r="K6" s="795"/>
      <c r="L6" s="564"/>
    </row>
    <row r="7" spans="1:12" ht="21.6" customHeight="1" thickBot="1">
      <c r="A7" s="705"/>
      <c r="B7" s="814"/>
      <c r="C7" s="821"/>
      <c r="D7" s="822"/>
      <c r="E7" s="823"/>
      <c r="F7" s="466"/>
      <c r="G7" s="436" t="s">
        <v>66</v>
      </c>
      <c r="H7" s="452" t="s">
        <v>617</v>
      </c>
      <c r="I7" s="441">
        <v>2100</v>
      </c>
      <c r="J7" s="637" t="s">
        <v>202</v>
      </c>
      <c r="K7" s="795"/>
      <c r="L7" s="564"/>
    </row>
    <row r="8" spans="1:12" ht="21.6" customHeight="1" thickBot="1">
      <c r="A8" s="558"/>
      <c r="B8" s="462" t="s">
        <v>1</v>
      </c>
      <c r="C8" s="463" t="s">
        <v>2</v>
      </c>
      <c r="D8" s="463" t="s">
        <v>3</v>
      </c>
      <c r="E8" s="464" t="s">
        <v>4</v>
      </c>
      <c r="F8" s="466"/>
      <c r="G8" s="436" t="s">
        <v>72</v>
      </c>
      <c r="H8" s="452" t="s">
        <v>614</v>
      </c>
      <c r="I8" s="467">
        <f>Ix/10000</f>
        <v>59.52</v>
      </c>
      <c r="J8" s="637" t="s">
        <v>255</v>
      </c>
      <c r="K8" s="795"/>
      <c r="L8" s="564"/>
    </row>
    <row r="9" spans="1:12" ht="21.6" customHeight="1">
      <c r="A9" s="703" t="s">
        <v>681</v>
      </c>
      <c r="B9" s="427" t="s">
        <v>625</v>
      </c>
      <c r="C9" s="437" t="s">
        <v>63</v>
      </c>
      <c r="D9" s="440" t="str">
        <f>Lift_Type</f>
        <v>مسافری</v>
      </c>
      <c r="E9" s="632" t="s">
        <v>328</v>
      </c>
      <c r="F9" s="466"/>
      <c r="G9" s="436" t="s">
        <v>72</v>
      </c>
      <c r="H9" s="452" t="s">
        <v>614</v>
      </c>
      <c r="I9" s="467">
        <f>Iy/10000</f>
        <v>52.4</v>
      </c>
      <c r="J9" s="637" t="s">
        <v>256</v>
      </c>
      <c r="K9" s="795"/>
      <c r="L9" s="564"/>
    </row>
    <row r="10" spans="1:12" ht="21.6" customHeight="1">
      <c r="A10" s="704"/>
      <c r="B10" s="428" t="s">
        <v>403</v>
      </c>
      <c r="C10" s="438" t="s">
        <v>172</v>
      </c>
      <c r="D10" s="441">
        <f>Stops</f>
        <v>10</v>
      </c>
      <c r="E10" s="633" t="s">
        <v>330</v>
      </c>
      <c r="F10" s="466"/>
      <c r="G10" s="436" t="s">
        <v>73</v>
      </c>
      <c r="H10" s="452" t="s">
        <v>615</v>
      </c>
      <c r="I10" s="467">
        <f>Wx/1000</f>
        <v>14.25</v>
      </c>
      <c r="J10" s="637" t="s">
        <v>257</v>
      </c>
      <c r="K10" s="795"/>
      <c r="L10" s="564"/>
    </row>
    <row r="11" spans="1:12" ht="21.6" customHeight="1">
      <c r="A11" s="704"/>
      <c r="B11" s="428" t="s">
        <v>230</v>
      </c>
      <c r="C11" s="438" t="s">
        <v>55</v>
      </c>
      <c r="D11" s="442">
        <f>H.</f>
        <v>28.8</v>
      </c>
      <c r="E11" s="633" t="s">
        <v>56</v>
      </c>
      <c r="F11" s="466"/>
      <c r="G11" s="436" t="s">
        <v>73</v>
      </c>
      <c r="H11" s="452" t="s">
        <v>615</v>
      </c>
      <c r="I11" s="467">
        <f>Wy/1000</f>
        <v>11.8</v>
      </c>
      <c r="J11" s="637" t="s">
        <v>258</v>
      </c>
      <c r="K11" s="795"/>
      <c r="L11" s="564"/>
    </row>
    <row r="12" spans="1:12" ht="21.6" customHeight="1">
      <c r="A12" s="704"/>
      <c r="B12" s="428" t="s">
        <v>229</v>
      </c>
      <c r="C12" s="438" t="s">
        <v>7</v>
      </c>
      <c r="D12" s="441">
        <f>Passengers_No.</f>
        <v>10</v>
      </c>
      <c r="E12" s="633" t="s">
        <v>329</v>
      </c>
      <c r="F12" s="466"/>
      <c r="G12" s="436" t="s">
        <v>75</v>
      </c>
      <c r="H12" s="452" t="s">
        <v>63</v>
      </c>
      <c r="I12" s="467">
        <f>L/i</f>
        <v>98.360655737704917</v>
      </c>
      <c r="J12" s="637" t="s">
        <v>211</v>
      </c>
      <c r="K12" s="795"/>
      <c r="L12" s="564"/>
    </row>
    <row r="13" spans="1:12" ht="21.6" customHeight="1">
      <c r="A13" s="704"/>
      <c r="B13" s="428" t="s">
        <v>321</v>
      </c>
      <c r="C13" s="438" t="s">
        <v>24</v>
      </c>
      <c r="D13" s="441">
        <f>Q</f>
        <v>800</v>
      </c>
      <c r="E13" s="633" t="s">
        <v>26</v>
      </c>
      <c r="F13" s="466"/>
      <c r="G13" s="436" t="s">
        <v>76</v>
      </c>
      <c r="H13" s="452" t="s">
        <v>63</v>
      </c>
      <c r="I13" s="468">
        <f>ω</f>
        <v>1.8672131147540985</v>
      </c>
      <c r="J13" s="637" t="s">
        <v>322</v>
      </c>
      <c r="K13" s="795"/>
      <c r="L13" s="564"/>
    </row>
    <row r="14" spans="1:12" ht="21.6" customHeight="1">
      <c r="A14" s="704"/>
      <c r="B14" s="428" t="s">
        <v>407</v>
      </c>
      <c r="C14" s="438" t="s">
        <v>24</v>
      </c>
      <c r="D14" s="441">
        <f>P</f>
        <v>800</v>
      </c>
      <c r="E14" s="633" t="s">
        <v>25</v>
      </c>
      <c r="F14" s="466"/>
      <c r="G14" s="546" t="s">
        <v>693</v>
      </c>
      <c r="H14" s="551" t="s">
        <v>37</v>
      </c>
      <c r="I14" s="553">
        <f>Fk</f>
        <v>15696</v>
      </c>
      <c r="J14" s="640" t="s">
        <v>772</v>
      </c>
      <c r="K14" s="795"/>
      <c r="L14" s="564"/>
    </row>
    <row r="15" spans="1:12" ht="21.6" customHeight="1" thickBot="1">
      <c r="A15" s="704"/>
      <c r="B15" s="428" t="s">
        <v>27</v>
      </c>
      <c r="C15" s="438" t="s">
        <v>19</v>
      </c>
      <c r="D15" s="441">
        <f>DX</f>
        <v>1350</v>
      </c>
      <c r="E15" s="633" t="s">
        <v>276</v>
      </c>
      <c r="F15" s="466"/>
      <c r="G15" s="549">
        <f>140-I15</f>
        <v>121.33262608332464</v>
      </c>
      <c r="H15" s="454" t="s">
        <v>323</v>
      </c>
      <c r="I15" s="481">
        <f xml:space="preserve"> Fk*ω/A</f>
        <v>18.667373916675366</v>
      </c>
      <c r="J15" s="639" t="s">
        <v>795</v>
      </c>
      <c r="K15" s="796"/>
      <c r="L15" s="565">
        <f>IF(G15&lt;0,1,0)</f>
        <v>0</v>
      </c>
    </row>
    <row r="16" spans="1:12" ht="21.6" customHeight="1">
      <c r="A16" s="704"/>
      <c r="B16" s="428" t="s">
        <v>28</v>
      </c>
      <c r="C16" s="438" t="s">
        <v>19</v>
      </c>
      <c r="D16" s="441">
        <f>DY</f>
        <v>1400</v>
      </c>
      <c r="E16" s="633" t="s">
        <v>277</v>
      </c>
      <c r="F16" s="466"/>
      <c r="G16" s="436" t="s">
        <v>697</v>
      </c>
      <c r="H16" s="452" t="s">
        <v>46</v>
      </c>
      <c r="I16" s="483">
        <f>Mcwt</f>
        <v>1139.24</v>
      </c>
      <c r="J16" s="637" t="s">
        <v>780</v>
      </c>
      <c r="K16" s="703" t="s">
        <v>692</v>
      </c>
      <c r="L16" s="564"/>
    </row>
    <row r="17" spans="1:12" ht="21.6" customHeight="1">
      <c r="A17" s="704"/>
      <c r="B17" s="428" t="str">
        <f>IF('ورودی ها'!G15=TRUE,"جمع مساحت مفید داخل کابین       (دستی)","جمع مساحت مفید داخل کابین     (اتوماتیک)")</f>
        <v>جمع مساحت مفید داخل کابین     (اتوماتیک)</v>
      </c>
      <c r="C17" s="438" t="s">
        <v>293</v>
      </c>
      <c r="D17" s="468">
        <f>Atotal</f>
        <v>1.964</v>
      </c>
      <c r="E17" s="633" t="s">
        <v>767</v>
      </c>
      <c r="F17" s="466"/>
      <c r="G17" s="436" t="s">
        <v>401</v>
      </c>
      <c r="H17" s="452" t="s">
        <v>10</v>
      </c>
      <c r="I17" s="483">
        <f>Vsr</f>
        <v>3.2</v>
      </c>
      <c r="J17" s="637" t="s">
        <v>402</v>
      </c>
      <c r="K17" s="704"/>
      <c r="L17" s="564"/>
    </row>
    <row r="18" spans="1:12" ht="21.6" customHeight="1">
      <c r="A18" s="704"/>
      <c r="B18" s="428" t="s">
        <v>9</v>
      </c>
      <c r="C18" s="438" t="s">
        <v>10</v>
      </c>
      <c r="D18" s="442">
        <f>VCar</f>
        <v>1.6</v>
      </c>
      <c r="E18" s="633" t="s">
        <v>271</v>
      </c>
      <c r="F18" s="466"/>
      <c r="G18" s="436" t="s">
        <v>453</v>
      </c>
      <c r="H18" s="452" t="s">
        <v>161</v>
      </c>
      <c r="I18" s="484">
        <f>msr</f>
        <v>0.35</v>
      </c>
      <c r="J18" s="637" t="s">
        <v>389</v>
      </c>
      <c r="K18" s="704"/>
      <c r="L18" s="564"/>
    </row>
    <row r="19" spans="1:12" ht="21.6" customHeight="1" thickBot="1">
      <c r="A19" s="705"/>
      <c r="B19" s="429" t="s">
        <v>372</v>
      </c>
      <c r="C19" s="439" t="s">
        <v>63</v>
      </c>
      <c r="D19" s="443" t="str">
        <f>Guide_Shoe_Type</f>
        <v>لغزشی با روغن</v>
      </c>
      <c r="E19" s="634" t="s">
        <v>417</v>
      </c>
      <c r="F19" s="466"/>
      <c r="G19" s="436" t="s">
        <v>454</v>
      </c>
      <c r="H19" s="452" t="s">
        <v>190</v>
      </c>
      <c r="I19" s="483">
        <f>Fsr_min</f>
        <v>50</v>
      </c>
      <c r="J19" s="637" t="s">
        <v>300</v>
      </c>
      <c r="K19" s="704"/>
      <c r="L19" s="564"/>
    </row>
    <row r="20" spans="1:12" ht="21.6" customHeight="1">
      <c r="A20" s="703" t="s">
        <v>16</v>
      </c>
      <c r="B20" s="427" t="s">
        <v>679</v>
      </c>
      <c r="C20" s="787" t="str">
        <f>Motor_type</f>
        <v>Wittur/SG8</v>
      </c>
      <c r="D20" s="787"/>
      <c r="E20" s="632" t="s">
        <v>448</v>
      </c>
      <c r="F20" s="466"/>
      <c r="G20" s="436" t="s">
        <v>621</v>
      </c>
      <c r="H20" s="452" t="s">
        <v>46</v>
      </c>
      <c r="I20" s="483">
        <f>MSR.</f>
        <v>40.32</v>
      </c>
      <c r="J20" s="637" t="s">
        <v>718</v>
      </c>
      <c r="K20" s="704"/>
      <c r="L20" s="564"/>
    </row>
    <row r="21" spans="1:12" ht="21.6" customHeight="1">
      <c r="A21" s="704"/>
      <c r="B21" s="428" t="s">
        <v>182</v>
      </c>
      <c r="C21" s="438" t="s">
        <v>17</v>
      </c>
      <c r="D21" s="442">
        <f>Wout</f>
        <v>11</v>
      </c>
      <c r="E21" s="633" t="s">
        <v>272</v>
      </c>
      <c r="F21" s="466"/>
      <c r="G21" s="436" t="s">
        <v>622</v>
      </c>
      <c r="H21" s="452" t="s">
        <v>46</v>
      </c>
      <c r="I21" s="483">
        <f>MCR.</f>
        <v>0</v>
      </c>
      <c r="J21" s="637" t="s">
        <v>719</v>
      </c>
      <c r="K21" s="704"/>
      <c r="L21" s="565"/>
    </row>
    <row r="22" spans="1:12" ht="21.6" customHeight="1">
      <c r="A22" s="704"/>
      <c r="B22" s="428" t="s">
        <v>396</v>
      </c>
      <c r="C22" s="438" t="s">
        <v>24</v>
      </c>
      <c r="D22" s="441">
        <f>CsMAX</f>
        <v>5000</v>
      </c>
      <c r="E22" s="633" t="s">
        <v>768</v>
      </c>
      <c r="F22" s="466"/>
      <c r="G22" s="436" t="s">
        <v>691</v>
      </c>
      <c r="I22" s="555">
        <f>IF(VCar&gt;2.5,1.3,IF(VCar&gt;1.6,1.25,IF(VCar&gt;1,1.2,IF(VCar&gt;0.63,1.15,1.1))))</f>
        <v>1.2</v>
      </c>
      <c r="J22" s="650" t="s">
        <v>796</v>
      </c>
      <c r="K22" s="704"/>
      <c r="L22" s="565"/>
    </row>
    <row r="23" spans="1:12" ht="21.6" customHeight="1">
      <c r="A23" s="704"/>
      <c r="B23" s="428" t="s">
        <v>628</v>
      </c>
      <c r="C23" s="438" t="s">
        <v>24</v>
      </c>
      <c r="D23" s="441">
        <f>Mgb</f>
        <v>600</v>
      </c>
      <c r="E23" s="633" t="s">
        <v>273</v>
      </c>
      <c r="F23" s="466"/>
      <c r="G23" s="436" t="s">
        <v>690</v>
      </c>
      <c r="I23" s="555">
        <f>IF( Groove_Type="V hardened",1.2,1)</f>
        <v>1</v>
      </c>
      <c r="J23" s="650" t="s">
        <v>797</v>
      </c>
      <c r="K23" s="704"/>
      <c r="L23" s="565"/>
    </row>
    <row r="24" spans="1:12" ht="21.6" customHeight="1">
      <c r="A24" s="704"/>
      <c r="B24" s="428" t="s">
        <v>18</v>
      </c>
      <c r="C24" s="438" t="s">
        <v>19</v>
      </c>
      <c r="D24" s="467">
        <f>Dt</f>
        <v>400</v>
      </c>
      <c r="E24" s="633" t="s">
        <v>274</v>
      </c>
      <c r="F24" s="466"/>
      <c r="G24" s="436" t="s">
        <v>689</v>
      </c>
      <c r="H24" s="500" t="s">
        <v>63</v>
      </c>
      <c r="I24" s="484">
        <f>IF(Groove_Type="V hardened",0.09/SIN(γ./2),0.09*4*(1-SIN(β./2))/(PI()-β.-SIN(β.)))</f>
        <v>0.19857937422150329</v>
      </c>
      <c r="J24" s="650" t="str">
        <f>IF(Groove_Type="V hardened","f = μ/Sin(γ/2) =","f =μ*4*(1-Sin(β/2))/(π-β-Sinβ) =")</f>
        <v>f =μ*4*(1-Sin(β/2))/(π-β-Sinβ) =</v>
      </c>
      <c r="K24" s="704"/>
      <c r="L24" s="565"/>
    </row>
    <row r="25" spans="1:12" ht="21.6" customHeight="1">
      <c r="A25" s="704"/>
      <c r="B25" s="428" t="s">
        <v>90</v>
      </c>
      <c r="C25" s="438" t="s">
        <v>22</v>
      </c>
      <c r="D25" s="467">
        <f>γ</f>
        <v>25</v>
      </c>
      <c r="E25" s="633" t="s">
        <v>198</v>
      </c>
      <c r="F25" s="466"/>
      <c r="G25" s="783" t="s">
        <v>705</v>
      </c>
      <c r="H25" s="784"/>
      <c r="I25" s="485">
        <f>EXP(f*α)</f>
        <v>1.8661089790443619</v>
      </c>
      <c r="J25" s="640" t="s">
        <v>798</v>
      </c>
      <c r="K25" s="704"/>
      <c r="L25" s="484"/>
    </row>
    <row r="26" spans="1:12" ht="21.6" customHeight="1">
      <c r="A26" s="704"/>
      <c r="B26" s="428" t="s">
        <v>20</v>
      </c>
      <c r="C26" s="438"/>
      <c r="D26" s="478" t="str">
        <f>Groove_Type</f>
        <v>U</v>
      </c>
      <c r="E26" s="635" t="str">
        <f>IF(Groove_Type="V hardened","سخت شده",IF(Groove_Type="V","سخت نشده","-"))</f>
        <v>-</v>
      </c>
      <c r="F26" s="466"/>
      <c r="G26" s="769">
        <f>I25-I26</f>
        <v>-0.11483270137416257</v>
      </c>
      <c r="H26" s="770"/>
      <c r="I26" s="484">
        <f>((P+Q1.)*gn/r.+MSR.*gn)/((Mcwt+MCR.)*gn/r.)*C1.*C2.</f>
        <v>1.9809416804185245</v>
      </c>
      <c r="J26" s="637" t="s">
        <v>799</v>
      </c>
      <c r="K26" s="704"/>
      <c r="L26" s="565">
        <f>IF(G26&lt;0,1,0)</f>
        <v>1</v>
      </c>
    </row>
    <row r="27" spans="1:12" ht="21.6" customHeight="1">
      <c r="A27" s="704"/>
      <c r="B27" s="428" t="s">
        <v>629</v>
      </c>
      <c r="C27" s="438" t="s">
        <v>22</v>
      </c>
      <c r="D27" s="441">
        <f>IF(OR(β=0,Groove_Type="V hardened"),"N/A",β)</f>
        <v>97.2</v>
      </c>
      <c r="E27" s="633" t="s">
        <v>199</v>
      </c>
      <c r="F27" s="466"/>
      <c r="G27" s="783" t="s">
        <v>704</v>
      </c>
      <c r="H27" s="784"/>
      <c r="I27" s="485">
        <f>EXP(f*α)</f>
        <v>1.8661089790443619</v>
      </c>
      <c r="J27" s="641" t="s">
        <v>798</v>
      </c>
      <c r="K27" s="704"/>
      <c r="L27" s="565"/>
    </row>
    <row r="28" spans="1:12" ht="21.6" customHeight="1" thickBot="1">
      <c r="A28" s="704"/>
      <c r="B28" s="428" t="s">
        <v>630</v>
      </c>
      <c r="C28" s="438" t="s">
        <v>63</v>
      </c>
      <c r="D28" s="479">
        <f>ηG</f>
        <v>1</v>
      </c>
      <c r="E28" s="633" t="s">
        <v>270</v>
      </c>
      <c r="F28" s="457"/>
      <c r="G28" s="824">
        <f>I27-I28</f>
        <v>5.0991431182046965E-2</v>
      </c>
      <c r="H28" s="825"/>
      <c r="I28" s="484">
        <f>(Mcwt*gn/r.+MSR.*gn)/((P+MCR.+MTrav)*gn/r.)*C1.*C2.</f>
        <v>1.8151175478623149</v>
      </c>
      <c r="J28" s="637" t="s">
        <v>799</v>
      </c>
      <c r="K28" s="704"/>
      <c r="L28" s="565">
        <f>IF(G28&lt;0,1,0)</f>
        <v>0</v>
      </c>
    </row>
    <row r="29" spans="1:12" ht="21.6" customHeight="1">
      <c r="A29" s="704"/>
      <c r="B29" s="428" t="s">
        <v>406</v>
      </c>
      <c r="C29" s="438" t="s">
        <v>419</v>
      </c>
      <c r="D29" s="441">
        <f>Wr</f>
        <v>1</v>
      </c>
      <c r="E29" s="444" t="str">
        <f>IF(Wr=1, "پیچش تکی", "پیچش دوبل")</f>
        <v>پیچش تکی</v>
      </c>
      <c r="F29" s="457"/>
      <c r="G29" s="608" t="s">
        <v>694</v>
      </c>
      <c r="H29" s="609" t="s">
        <v>323</v>
      </c>
      <c r="I29" s="610">
        <f>IF(Groove_Type="V hardened",((P+Q)*gn/r.+MSR.*gn)/(nS*Dt*dsr)*4.5/SIN(γ./2),((P+Q)*gn/r.+MSR.*gn)/(nS*Dt*dsr)*8*COS(β./2)/(PI()-β.-SIN(β.)))</f>
        <v>6.0169256584829691</v>
      </c>
      <c r="J29" s="651" t="str">
        <f>IF(Groove_Type="V hardened","P = T/(n*D*d)*4.5/SIN(γ/2) =","P=T/(n*D*d)*8*COS(β/2)/(π-β-SINβ)")</f>
        <v>P=T/(n*D*d)*8*COS(β/2)/(π-β-SINβ)</v>
      </c>
      <c r="K29" s="704"/>
      <c r="L29" s="565"/>
    </row>
    <row r="30" spans="1:12" ht="21.6" customHeight="1">
      <c r="A30" s="704"/>
      <c r="B30" s="428" t="s">
        <v>631</v>
      </c>
      <c r="C30" s="438" t="s">
        <v>19</v>
      </c>
      <c r="D30" s="441" t="str">
        <f>IF('ورودی ها'!G38=FALSE,RDB,"-")</f>
        <v>-</v>
      </c>
      <c r="E30" s="633" t="s">
        <v>15</v>
      </c>
      <c r="F30" s="466"/>
      <c r="G30" s="554" t="s">
        <v>695</v>
      </c>
      <c r="H30" s="607" t="s">
        <v>323</v>
      </c>
      <c r="I30" s="484">
        <f>(12.5+4*Vsr)/(1+Vsr)</f>
        <v>6.0238095238095237</v>
      </c>
      <c r="J30" s="637" t="s">
        <v>800</v>
      </c>
      <c r="K30" s="704"/>
      <c r="L30" s="565">
        <f>IF(I30&lt;I29,1,0)</f>
        <v>0</v>
      </c>
    </row>
    <row r="31" spans="1:12" ht="21.6" customHeight="1">
      <c r="A31" s="704"/>
      <c r="B31" s="428" t="s">
        <v>632</v>
      </c>
      <c r="C31" s="438" t="s">
        <v>19</v>
      </c>
      <c r="D31" s="441" t="str">
        <f>IF('ورودی ها'!G38=FALSE,hP,"-")</f>
        <v>-</v>
      </c>
      <c r="E31" s="633" t="s">
        <v>275</v>
      </c>
      <c r="F31" s="466"/>
      <c r="G31" s="606" t="s">
        <v>749</v>
      </c>
      <c r="H31" s="607"/>
      <c r="I31" s="484"/>
      <c r="J31" s="652">
        <f>I30-I29</f>
        <v>6.8838653265546057E-3</v>
      </c>
      <c r="K31" s="704"/>
      <c r="L31" s="565"/>
    </row>
    <row r="32" spans="1:12" ht="21.6" customHeight="1">
      <c r="A32" s="704"/>
      <c r="B32" s="428" t="str">
        <f>IF('ورودی ها'!G38=TRUE,"زاویه پیچش روی فلکه کششی      (دستی)","زاویه پیچش روی فلکه کششی    (اتوماتیک)")</f>
        <v>زاویه پیچش روی فلکه کششی      (دستی)</v>
      </c>
      <c r="C32" s="438" t="s">
        <v>22</v>
      </c>
      <c r="D32" s="467">
        <f>α.</f>
        <v>180</v>
      </c>
      <c r="E32" s="633" t="s">
        <v>164</v>
      </c>
      <c r="F32" s="465"/>
      <c r="G32" s="550" t="s">
        <v>634</v>
      </c>
      <c r="H32" s="551" t="s">
        <v>63</v>
      </c>
      <c r="I32" s="552">
        <f>Fsr_min*1000*nS/((P+Q)*gn/r.+MSR.*gn)</f>
        <v>24.261424025253621</v>
      </c>
      <c r="J32" s="637" t="s">
        <v>462</v>
      </c>
      <c r="K32" s="704"/>
      <c r="L32" s="565"/>
    </row>
    <row r="33" spans="1:12" ht="21.6" customHeight="1" thickBot="1">
      <c r="A33" s="705"/>
      <c r="B33" s="429"/>
      <c r="C33" s="439"/>
      <c r="D33" s="451"/>
      <c r="E33" s="634"/>
      <c r="F33" s="466"/>
      <c r="G33" s="491" t="s">
        <v>635</v>
      </c>
      <c r="H33" s="454" t="s">
        <v>63</v>
      </c>
      <c r="I33" s="492">
        <f>IF(nS=2,16,12)</f>
        <v>12</v>
      </c>
      <c r="J33" s="653">
        <f>I32-I33</f>
        <v>12.261424025253621</v>
      </c>
      <c r="K33" s="705"/>
      <c r="L33" s="565"/>
    </row>
    <row r="34" spans="1:12" ht="21.6" customHeight="1">
      <c r="A34" s="703" t="s">
        <v>687</v>
      </c>
      <c r="B34" s="427" t="s">
        <v>23</v>
      </c>
      <c r="C34" s="437" t="s">
        <v>19</v>
      </c>
      <c r="D34" s="482" t="str">
        <f>'ورودی ها'!D40</f>
        <v>T89/A-B</v>
      </c>
      <c r="E34" s="632" t="str">
        <f>INDEX(Guide_Rail_Table,Guide_Rail_Type,2)</f>
        <v>89-62-16</v>
      </c>
      <c r="F34" s="466"/>
      <c r="G34" s="436" t="s">
        <v>638</v>
      </c>
      <c r="H34" s="452" t="s">
        <v>37</v>
      </c>
      <c r="I34" s="453">
        <f>4*gn*(P+Q)</f>
        <v>62784</v>
      </c>
      <c r="J34" s="637" t="s">
        <v>785</v>
      </c>
      <c r="K34" s="791" t="s">
        <v>626</v>
      </c>
      <c r="L34" s="565"/>
    </row>
    <row r="35" spans="1:12" ht="21.6" customHeight="1">
      <c r="A35" s="704"/>
      <c r="B35" s="428" t="s">
        <v>633</v>
      </c>
      <c r="C35" s="438" t="s">
        <v>63</v>
      </c>
      <c r="D35" s="441" t="str">
        <f>Safety_gear_Type</f>
        <v>تدریجی</v>
      </c>
      <c r="E35" s="633" t="s">
        <v>418</v>
      </c>
      <c r="F35" s="466"/>
      <c r="G35" s="436" t="s">
        <v>627</v>
      </c>
      <c r="H35" s="452" t="s">
        <v>37</v>
      </c>
      <c r="I35" s="453">
        <f>4*gn*(P+q.*Q)</f>
        <v>44576.639999999999</v>
      </c>
      <c r="J35" s="637" t="s">
        <v>786</v>
      </c>
      <c r="K35" s="792"/>
      <c r="L35" s="565"/>
    </row>
    <row r="36" spans="1:12" ht="21.6" customHeight="1">
      <c r="A36" s="704"/>
      <c r="B36" s="428" t="s">
        <v>29</v>
      </c>
      <c r="C36" s="438" t="s">
        <v>19</v>
      </c>
      <c r="D36" s="441">
        <f>L</f>
        <v>1800</v>
      </c>
      <c r="E36" s="633" t="s">
        <v>30</v>
      </c>
      <c r="F36" s="466"/>
      <c r="G36" s="436" t="s">
        <v>457</v>
      </c>
      <c r="H36" s="452" t="s">
        <v>24</v>
      </c>
      <c r="I36" s="453">
        <v>1500</v>
      </c>
      <c r="J36" s="637" t="s">
        <v>209</v>
      </c>
      <c r="K36" s="792"/>
      <c r="L36" s="565"/>
    </row>
    <row r="37" spans="1:12" ht="21.6" customHeight="1">
      <c r="A37" s="704"/>
      <c r="B37" s="428" t="s">
        <v>696</v>
      </c>
      <c r="C37" s="438" t="s">
        <v>19</v>
      </c>
      <c r="D37" s="441">
        <f>h</f>
        <v>3200</v>
      </c>
      <c r="E37" s="633" t="s">
        <v>32</v>
      </c>
      <c r="F37" s="466"/>
      <c r="G37" s="436" t="s">
        <v>639</v>
      </c>
      <c r="H37" s="452" t="s">
        <v>24</v>
      </c>
      <c r="I37" s="453">
        <f>Mgb</f>
        <v>600</v>
      </c>
      <c r="J37" s="637" t="s">
        <v>273</v>
      </c>
      <c r="K37" s="792"/>
      <c r="L37" s="565"/>
    </row>
    <row r="38" spans="1:12" ht="21.6" customHeight="1">
      <c r="A38" s="704"/>
      <c r="B38" s="428" t="s">
        <v>33</v>
      </c>
      <c r="C38" s="438" t="s">
        <v>601</v>
      </c>
      <c r="D38" s="441">
        <f>n</f>
        <v>2</v>
      </c>
      <c r="E38" s="633" t="s">
        <v>34</v>
      </c>
      <c r="F38" s="466"/>
      <c r="G38" s="436" t="s">
        <v>640</v>
      </c>
      <c r="H38" s="452" t="s">
        <v>37</v>
      </c>
      <c r="I38" s="453">
        <f>'محاسبات دیگر '!C16</f>
        <v>39081.627359999999</v>
      </c>
      <c r="J38" s="637" t="s">
        <v>787</v>
      </c>
      <c r="K38" s="792"/>
      <c r="L38" s="565"/>
    </row>
    <row r="39" spans="1:12" ht="21.6" customHeight="1" thickBot="1">
      <c r="A39" s="705"/>
      <c r="B39" s="428" t="s">
        <v>35</v>
      </c>
      <c r="C39" s="438" t="s">
        <v>63</v>
      </c>
      <c r="D39" s="486">
        <f>q.</f>
        <v>0.42</v>
      </c>
      <c r="E39" s="633" t="s">
        <v>36</v>
      </c>
      <c r="F39" s="466"/>
      <c r="G39" s="491" t="s">
        <v>641</v>
      </c>
      <c r="H39" s="454" t="s">
        <v>37</v>
      </c>
      <c r="I39" s="455">
        <f>H.*gn*mg+Fk</f>
        <v>19171.094400000002</v>
      </c>
      <c r="J39" s="639" t="s">
        <v>788</v>
      </c>
      <c r="K39" s="793"/>
      <c r="L39" s="565"/>
    </row>
    <row r="40" spans="1:12" ht="21.6" customHeight="1">
      <c r="A40" s="703" t="s">
        <v>698</v>
      </c>
      <c r="B40" s="427" t="s">
        <v>636</v>
      </c>
      <c r="C40" s="786" t="str">
        <f>'ورودی ها'!C56</f>
        <v>G-Wolf F819 W-FE</v>
      </c>
      <c r="D40" s="786"/>
      <c r="E40" s="445" t="str">
        <f>INDEX(Rope_Type_Table,Rope_Type,2)</f>
        <v>گوستاو ولف</v>
      </c>
      <c r="F40" s="466"/>
      <c r="G40" s="428" t="s">
        <v>630</v>
      </c>
      <c r="H40" s="438" t="s">
        <v>63</v>
      </c>
      <c r="I40" s="479">
        <f>ηG</f>
        <v>1</v>
      </c>
      <c r="J40" s="633" t="s">
        <v>270</v>
      </c>
      <c r="K40" s="791" t="s">
        <v>624</v>
      </c>
      <c r="L40" s="565"/>
    </row>
    <row r="41" spans="1:12" ht="21.6" customHeight="1">
      <c r="A41" s="704"/>
      <c r="B41" s="428" t="s">
        <v>637</v>
      </c>
      <c r="C41" s="438" t="s">
        <v>19</v>
      </c>
      <c r="D41" s="447">
        <f>dsr</f>
        <v>10</v>
      </c>
      <c r="E41" s="633" t="s">
        <v>285</v>
      </c>
      <c r="F41" s="466"/>
      <c r="G41" s="436" t="s">
        <v>218</v>
      </c>
      <c r="H41" s="452" t="s">
        <v>63</v>
      </c>
      <c r="I41" s="493">
        <f>ηs</f>
        <v>0.9</v>
      </c>
      <c r="J41" s="633" t="s">
        <v>789</v>
      </c>
      <c r="K41" s="792"/>
      <c r="L41" s="565"/>
    </row>
    <row r="42" spans="1:12" ht="21.6" customHeight="1">
      <c r="A42" s="704"/>
      <c r="B42" s="428" t="s">
        <v>47</v>
      </c>
      <c r="C42" s="438" t="s">
        <v>48</v>
      </c>
      <c r="D42" s="441">
        <f>nS</f>
        <v>4</v>
      </c>
      <c r="E42" s="633" t="s">
        <v>286</v>
      </c>
      <c r="F42" s="466"/>
      <c r="G42" s="436" t="s">
        <v>708</v>
      </c>
      <c r="H42" s="452" t="s">
        <v>63</v>
      </c>
      <c r="I42" s="493">
        <f>ηP</f>
        <v>0.96</v>
      </c>
      <c r="J42" s="633" t="s">
        <v>790</v>
      </c>
      <c r="K42" s="792"/>
      <c r="L42" s="565">
        <f>IF(I45&gt;CsMAX,1,0 )</f>
        <v>0</v>
      </c>
    </row>
    <row r="43" spans="1:12" ht="21.6" customHeight="1">
      <c r="A43" s="704"/>
      <c r="B43" s="430" t="s">
        <v>217</v>
      </c>
      <c r="C43" s="448" t="str">
        <f>'ورودی ها'!C59</f>
        <v>2:1</v>
      </c>
      <c r="D43" s="449">
        <f>r.</f>
        <v>2</v>
      </c>
      <c r="E43" s="636" t="s">
        <v>57</v>
      </c>
      <c r="F43" s="466"/>
      <c r="G43" s="436" t="s">
        <v>182</v>
      </c>
      <c r="H43" s="452" t="s">
        <v>104</v>
      </c>
      <c r="I43" s="494">
        <f>Wout</f>
        <v>11</v>
      </c>
      <c r="J43" s="647" t="s">
        <v>272</v>
      </c>
      <c r="K43" s="792"/>
      <c r="L43" s="565"/>
    </row>
    <row r="44" spans="1:12" ht="21.6" customHeight="1">
      <c r="A44" s="704"/>
      <c r="B44" s="428" t="s">
        <v>49</v>
      </c>
      <c r="C44" s="438" t="s">
        <v>48</v>
      </c>
      <c r="D44" s="441">
        <f>nt</f>
        <v>1</v>
      </c>
      <c r="E44" s="633" t="s">
        <v>287</v>
      </c>
      <c r="F44" s="466"/>
      <c r="G44" s="436" t="s">
        <v>103</v>
      </c>
      <c r="H44" s="452" t="s">
        <v>24</v>
      </c>
      <c r="I44" s="453">
        <f>Mcwt</f>
        <v>1139.24</v>
      </c>
      <c r="J44" s="633" t="s">
        <v>801</v>
      </c>
      <c r="K44" s="792"/>
      <c r="L44" s="565">
        <f>IF(Wmid&gt;Wout,1,0)</f>
        <v>0</v>
      </c>
    </row>
    <row r="45" spans="1:12" ht="21.6" customHeight="1">
      <c r="A45" s="704"/>
      <c r="B45" s="430" t="s">
        <v>51</v>
      </c>
      <c r="C45" s="448" t="s">
        <v>161</v>
      </c>
      <c r="D45" s="450">
        <f>mt</f>
        <v>0.45</v>
      </c>
      <c r="E45" s="636" t="s">
        <v>288</v>
      </c>
      <c r="F45" s="466"/>
      <c r="G45" s="436" t="s">
        <v>642</v>
      </c>
      <c r="H45" s="452" t="s">
        <v>24</v>
      </c>
      <c r="I45" s="453">
        <f>Cs</f>
        <v>1409.9399999999998</v>
      </c>
      <c r="J45" s="633" t="str">
        <f>IF(I45&gt;CsMAX,"&lt;-Error-&gt;  Csmax ≤ Cs =","&lt;-OK-&gt;   Csmax &gt; Cs =")</f>
        <v>&lt;-OK-&gt;   Csmax &gt; Cs =</v>
      </c>
      <c r="K45" s="792"/>
      <c r="L45" s="565">
        <f>IF(Wmax&gt;1.2*Wout,1,0)</f>
        <v>0</v>
      </c>
    </row>
    <row r="46" spans="1:12" ht="21.6" customHeight="1">
      <c r="A46" s="704"/>
      <c r="B46" s="428" t="s">
        <v>467</v>
      </c>
      <c r="C46" s="438" t="s">
        <v>48</v>
      </c>
      <c r="D46" s="441">
        <f>nc</f>
        <v>0</v>
      </c>
      <c r="E46" s="633" t="s">
        <v>289</v>
      </c>
      <c r="F46" s="466"/>
      <c r="G46" s="436" t="s">
        <v>710</v>
      </c>
      <c r="H46" s="452" t="s">
        <v>24</v>
      </c>
      <c r="I46" s="453">
        <f>qm</f>
        <v>281.97916666666669</v>
      </c>
      <c r="J46" s="633" t="s">
        <v>791</v>
      </c>
      <c r="K46" s="792"/>
      <c r="L46" s="565"/>
    </row>
    <row r="47" spans="1:12" ht="21.6" customHeight="1" thickBot="1">
      <c r="A47" s="704"/>
      <c r="B47" s="428" t="s">
        <v>452</v>
      </c>
      <c r="C47" s="438" t="s">
        <v>161</v>
      </c>
      <c r="D47" s="447" t="str">
        <f>IF(nc=0,"N/A",mcr)</f>
        <v>N/A</v>
      </c>
      <c r="E47" s="633" t="s">
        <v>803</v>
      </c>
      <c r="F47" s="466"/>
      <c r="G47" s="436" t="s">
        <v>747</v>
      </c>
      <c r="H47" s="452" t="s">
        <v>104</v>
      </c>
      <c r="I47" s="494">
        <f>Wmid</f>
        <v>8.4293333333333358</v>
      </c>
      <c r="J47" s="633" t="s">
        <v>792</v>
      </c>
      <c r="K47" s="792"/>
      <c r="L47" s="565"/>
    </row>
    <row r="48" spans="1:12" ht="21.6" customHeight="1" thickBot="1">
      <c r="A48" s="703" t="s">
        <v>671</v>
      </c>
      <c r="B48" s="523" t="s">
        <v>678</v>
      </c>
      <c r="C48" s="524" t="s">
        <v>673</v>
      </c>
      <c r="D48" s="524" t="s">
        <v>173</v>
      </c>
      <c r="E48" s="525" t="s">
        <v>672</v>
      </c>
      <c r="F48" s="466"/>
      <c r="G48" s="436" t="s">
        <v>735</v>
      </c>
      <c r="H48" s="452" t="s">
        <v>104</v>
      </c>
      <c r="I48" s="494">
        <f>Wmax</f>
        <v>9.8354333333333344</v>
      </c>
      <c r="J48" s="633" t="s">
        <v>802</v>
      </c>
      <c r="K48" s="793"/>
      <c r="L48" s="565"/>
    </row>
    <row r="49" spans="1:17" ht="21.6" customHeight="1">
      <c r="A49" s="704"/>
      <c r="B49" s="428" t="s">
        <v>674</v>
      </c>
      <c r="C49" s="521">
        <f>IF(En_D1=TRUE,DW1.,"N/A")</f>
        <v>900</v>
      </c>
      <c r="D49" s="521" t="str">
        <f>IF(En_D1=TRUE,DT1.,"N/A")</f>
        <v>تلسکوپی 2 لنگه</v>
      </c>
      <c r="E49" s="526">
        <f>IF(En_D1=TRUE,DD1.,"N/A")</f>
        <v>60</v>
      </c>
      <c r="F49" s="466"/>
      <c r="G49" s="797" t="s">
        <v>176</v>
      </c>
      <c r="H49" s="798"/>
      <c r="I49" s="798"/>
      <c r="J49" s="811"/>
      <c r="K49" s="791"/>
      <c r="L49" s="565"/>
    </row>
    <row r="50" spans="1:17" ht="21.6" customHeight="1">
      <c r="A50" s="704"/>
      <c r="B50" s="428" t="s">
        <v>675</v>
      </c>
      <c r="C50" s="521" t="str">
        <f>IF(En_D2=TRUE,DW2.,"N/A")</f>
        <v>N/A</v>
      </c>
      <c r="D50" s="530" t="str">
        <f>IF(En_D2=TRUE,DT2.,"N/A")</f>
        <v>N/A</v>
      </c>
      <c r="E50" s="527" t="str">
        <f>IF(En_D2=TRUE,DD2.,"N/A")</f>
        <v>N/A</v>
      </c>
      <c r="F50" s="466"/>
      <c r="G50" s="436" t="s">
        <v>179</v>
      </c>
      <c r="H50" s="452" t="s">
        <v>293</v>
      </c>
      <c r="I50" s="495">
        <f>Atotal</f>
        <v>1.964</v>
      </c>
      <c r="J50" s="633" t="s">
        <v>794</v>
      </c>
      <c r="K50" s="792"/>
      <c r="L50" s="565">
        <f>IF(J51&lt;0,1,0)</f>
        <v>0</v>
      </c>
    </row>
    <row r="51" spans="1:17" ht="21.6" customHeight="1">
      <c r="A51" s="704"/>
      <c r="B51" s="428" t="s">
        <v>676</v>
      </c>
      <c r="C51" s="521" t="str">
        <f>IF(En_D3=TRUE,DW3.,"N/A")</f>
        <v>N/A</v>
      </c>
      <c r="D51" s="530" t="str">
        <f>IF(En_D3=TRUE,DT3.,"N/A")</f>
        <v>N/A</v>
      </c>
      <c r="E51" s="528" t="str">
        <f>IF(En_D3=TRUE,DD3.,"N/A")</f>
        <v>N/A</v>
      </c>
      <c r="F51" s="466"/>
      <c r="G51" s="436" t="s">
        <v>181</v>
      </c>
      <c r="H51" s="452" t="s">
        <v>293</v>
      </c>
      <c r="I51" s="495">
        <f>IF(Passengers_No.&gt;20,3.13+(Passengers_No.-20)*0.115,VLOOKUP(Passengers_No.,Min_Car_Area,2))</f>
        <v>1.73</v>
      </c>
      <c r="J51" s="648">
        <f>Atotal-Amin</f>
        <v>0.23399999999999999</v>
      </c>
      <c r="K51" s="792"/>
      <c r="L51" s="565">
        <f>IF(J52&lt;0,1,0)</f>
        <v>0</v>
      </c>
    </row>
    <row r="52" spans="1:17" ht="21.6" customHeight="1" thickBot="1">
      <c r="A52" s="705"/>
      <c r="B52" s="429" t="s">
        <v>677</v>
      </c>
      <c r="C52" s="522" t="str">
        <f>IF(En_D4=TRUE,DW4.,"N/A")</f>
        <v>N/A</v>
      </c>
      <c r="D52" s="531" t="str">
        <f>IF(En_D4=TRUE,DT4.,"N/A")</f>
        <v>N/A</v>
      </c>
      <c r="E52" s="529" t="str">
        <f>IF(En_D4=TRUE,DD4.,"N/A")</f>
        <v>N/A</v>
      </c>
      <c r="F52" s="466"/>
      <c r="G52" s="491" t="s">
        <v>180</v>
      </c>
      <c r="H52" s="454" t="s">
        <v>293</v>
      </c>
      <c r="I52" s="497">
        <f>IF(Q&gt;2500, 5+(Q-2500)/100*0.16,VLOOKUP(Q,Max_Car_Area,2)+(VLOOKUP(INDEX(loads,MATCH(Q,loads,1)+1),Max_Car_Area,2)-VLOOKUP(Q,Max_Car_Area,2))*(Q-INDEX(loads,MATCH(Q,loads,1)))/(INDEX(loads,MATCH(Q,loads,1)+1)-INDEX(loads,MATCH(Q,loads,1))))</f>
        <v>2</v>
      </c>
      <c r="J52" s="649">
        <f>Amax-Atotal</f>
        <v>3.6000000000000032E-2</v>
      </c>
      <c r="K52" s="793"/>
      <c r="L52" s="565">
        <f>SUM(L14:L51)</f>
        <v>1</v>
      </c>
      <c r="Q52" s="509"/>
    </row>
    <row r="53" spans="1:17" ht="21.6" customHeight="1">
      <c r="A53" s="810" t="str">
        <f>IF(D2d&lt;&gt;0,"به علت عدم تطابق ورودی‌ها با استاندارد ملی، در کمیته فنی بررسی شود", IF(InputErr&lt;&gt;0, "داده های ورودی مغایرت دارد",IF(AND(Guide_Rail_Type=13,OR(Rope_Type=10,Rope_Type=11)),"مستندات و مدارک فنی مربوط به سیم بکسل و ریل ارائه شود",IF(Guide_Rail_Type=13,"مستندات و مدارک فنی مربوط به ریل‌ ارائه شود",IF(OR(Rope_Type=10,Rope_Type=11),"مستندات و مدارک فنی مربوط به سیم بکسل ارائه شود","")))))</f>
        <v/>
      </c>
      <c r="B53" s="810"/>
      <c r="C53" s="810"/>
      <c r="D53" s="810"/>
      <c r="E53" s="810"/>
      <c r="F53" s="559"/>
      <c r="G53" s="810" t="str">
        <f xml:space="preserve"> IF(SumOld&lt;&gt;0, "محاسبات مطابق با استاندارد 1381: 1-6303 مردود است","محاسبات مطابق با استاندارد 1381: 1-6303  تایید است")</f>
        <v>محاسبات مطابق با استاندارد 1381: 1-6303 مردود است</v>
      </c>
      <c r="H53" s="810"/>
      <c r="I53" s="810"/>
      <c r="J53" s="810"/>
      <c r="K53" s="810"/>
    </row>
    <row r="54" spans="1:17" ht="21.6" customHeight="1">
      <c r="A54" s="682"/>
      <c r="B54" s="560"/>
      <c r="C54" s="560"/>
      <c r="D54" s="560"/>
      <c r="E54" s="560"/>
      <c r="F54" s="466"/>
      <c r="G54" s="560"/>
      <c r="H54" s="560"/>
      <c r="I54" s="560"/>
      <c r="J54" s="559"/>
      <c r="K54" s="557"/>
    </row>
    <row r="55" spans="1:17" ht="21.6" customHeight="1">
      <c r="A55" s="682"/>
      <c r="B55" s="561"/>
      <c r="C55" s="561"/>
      <c r="D55" s="809"/>
      <c r="E55" s="809"/>
      <c r="F55" s="466"/>
      <c r="G55" s="561"/>
      <c r="H55" s="561"/>
      <c r="I55" s="561"/>
      <c r="K55" s="501"/>
    </row>
    <row r="56" spans="1:17" ht="21.6" customHeight="1">
      <c r="B56" s="556"/>
      <c r="C56" s="556"/>
      <c r="D56" s="556"/>
      <c r="E56" s="556"/>
      <c r="F56" s="466"/>
      <c r="G56" s="556"/>
      <c r="H56" s="556"/>
      <c r="I56" s="556"/>
      <c r="J56" s="556"/>
      <c r="K56" s="501"/>
    </row>
    <row r="57" spans="1:17" ht="21.6" customHeight="1">
      <c r="F57" s="466"/>
      <c r="K57" s="501"/>
    </row>
    <row r="58" spans="1:17" ht="21.6" customHeight="1">
      <c r="F58" s="466"/>
      <c r="K58" s="501"/>
    </row>
    <row r="59" spans="1:17" ht="21.6" customHeight="1">
      <c r="F59" s="466"/>
      <c r="K59" s="502"/>
    </row>
    <row r="60" spans="1:17" ht="21.6" customHeight="1">
      <c r="F60" s="466"/>
      <c r="K60" s="501"/>
      <c r="L60" s="507"/>
    </row>
    <row r="61" spans="1:17" ht="21.6" customHeight="1">
      <c r="F61" s="466"/>
      <c r="K61" s="501"/>
      <c r="L61" s="508"/>
    </row>
    <row r="62" spans="1:17" ht="21.6" customHeight="1">
      <c r="F62" s="466"/>
      <c r="K62" s="503"/>
    </row>
    <row r="63" spans="1:17" ht="21.6" customHeight="1">
      <c r="F63" s="466"/>
    </row>
    <row r="64" spans="1:17" ht="21.6" customHeight="1">
      <c r="F64" s="466"/>
    </row>
    <row r="65" spans="6:6" ht="21.6" customHeight="1">
      <c r="F65" s="466"/>
    </row>
    <row r="66" spans="6:6" ht="21.6" customHeight="1">
      <c r="F66" s="466"/>
    </row>
    <row r="67" spans="6:6" ht="21.6" customHeight="1">
      <c r="F67" s="465"/>
    </row>
    <row r="68" spans="6:6" ht="21.6" customHeight="1">
      <c r="F68" s="490"/>
    </row>
    <row r="69" spans="6:6" ht="21.6" customHeight="1">
      <c r="F69" s="490"/>
    </row>
  </sheetData>
  <sheetProtection algorithmName="SHA-512" hashValue="cPokaX2Ofx+tNDIrqB8H2NUJqe49QPYwAfAyrkZkUg9lIN051L/iiIpHIfLbZ6uNJ4Xh8ETGqdgQsucm72o1gQ==" saltValue="H3QAGx1A1x5AT/Mu1UwXrA==" spinCount="100000" sheet="1" objects="1" scenarios="1" selectLockedCells="1" selectUnlockedCells="1"/>
  <mergeCells count="28">
    <mergeCell ref="A1:E1"/>
    <mergeCell ref="G1:K1"/>
    <mergeCell ref="C2:E2"/>
    <mergeCell ref="C3:E3"/>
    <mergeCell ref="C4:E4"/>
    <mergeCell ref="K3:K15"/>
    <mergeCell ref="A9:A19"/>
    <mergeCell ref="A2:A7"/>
    <mergeCell ref="B5:B7"/>
    <mergeCell ref="C5:E7"/>
    <mergeCell ref="K16:K33"/>
    <mergeCell ref="G26:H26"/>
    <mergeCell ref="G27:H27"/>
    <mergeCell ref="G28:H28"/>
    <mergeCell ref="K34:K39"/>
    <mergeCell ref="A20:A33"/>
    <mergeCell ref="C20:D20"/>
    <mergeCell ref="A34:A39"/>
    <mergeCell ref="D55:E55"/>
    <mergeCell ref="A53:E53"/>
    <mergeCell ref="G53:K53"/>
    <mergeCell ref="K40:K48"/>
    <mergeCell ref="K49:K52"/>
    <mergeCell ref="A48:A52"/>
    <mergeCell ref="C40:D40"/>
    <mergeCell ref="A40:A47"/>
    <mergeCell ref="G49:J49"/>
    <mergeCell ref="G25:H25"/>
  </mergeCells>
  <conditionalFormatting sqref="I32">
    <cfRule type="cellIs" dxfId="40" priority="19" operator="lessThan">
      <formula>$I$33</formula>
    </cfRule>
  </conditionalFormatting>
  <conditionalFormatting sqref="I45:J45">
    <cfRule type="expression" dxfId="39" priority="18">
      <formula>$I$45&gt;CsMAX</formula>
    </cfRule>
  </conditionalFormatting>
  <conditionalFormatting sqref="I47">
    <cfRule type="expression" dxfId="38" priority="17">
      <formula>$I$47&gt;Wout</formula>
    </cfRule>
  </conditionalFormatting>
  <conditionalFormatting sqref="I48">
    <cfRule type="expression" dxfId="37" priority="16">
      <formula>$I$48&gt;Wout*1.2</formula>
    </cfRule>
  </conditionalFormatting>
  <conditionalFormatting sqref="I50">
    <cfRule type="cellIs" dxfId="36" priority="15" operator="notBetween">
      <formula>Amin</formula>
      <formula>Amax</formula>
    </cfRule>
  </conditionalFormatting>
  <conditionalFormatting sqref="I33">
    <cfRule type="cellIs" dxfId="35" priority="9" operator="greaterThan">
      <formula>$I$32</formula>
    </cfRule>
  </conditionalFormatting>
  <conditionalFormatting sqref="D41">
    <cfRule type="containsText" dxfId="34" priority="5" stopIfTrue="1" operator="containsText" text="Error">
      <formula>NOT(ISERROR(SEARCH("Error",D41)))</formula>
    </cfRule>
  </conditionalFormatting>
  <conditionalFormatting sqref="D13">
    <cfRule type="cellIs" dxfId="33" priority="7" operator="lessThan">
      <formula>$D$12*75</formula>
    </cfRule>
  </conditionalFormatting>
  <conditionalFormatting sqref="D24">
    <cfRule type="cellIs" dxfId="32" priority="6" operator="lessThan">
      <formula>40*dsr</formula>
    </cfRule>
  </conditionalFormatting>
  <conditionalFormatting sqref="I28">
    <cfRule type="cellIs" dxfId="31" priority="3" operator="greaterThan">
      <formula>$I$25</formula>
    </cfRule>
    <cfRule type="cellIs" dxfId="30" priority="4" operator="greaterThan">
      <formula>#REF!</formula>
    </cfRule>
  </conditionalFormatting>
  <conditionalFormatting sqref="I29 I30:J30 I31">
    <cfRule type="expression" dxfId="29" priority="2">
      <formula>$I$29&gt;$I$30</formula>
    </cfRule>
  </conditionalFormatting>
  <conditionalFormatting sqref="A53 F53:G53">
    <cfRule type="containsText" dxfId="28" priority="1" operator="containsText" text="خطا">
      <formula>NOT(ISERROR(SEARCH("خطا",A53)))</formula>
    </cfRule>
  </conditionalFormatting>
  <dataValidations count="4">
    <dataValidation type="list" allowBlank="1" showInputMessage="1" showErrorMessage="1" sqref="F68:F69 K60:K61">
      <formula1>" چدنی, پلیمری"</formula1>
    </dataValidation>
    <dataValidation errorStyle="warning" operator="greaterThanOrEqual" allowBlank="1" showInputMessage="1" showErrorMessage="1" sqref="I33"/>
    <dataValidation allowBlank="1" promptTitle="تعيين تعداد طبقات" prompt="از ليست مقابل طبقات مورد نظر را وارد كنيد" sqref="C10"/>
    <dataValidation operator="greaterThan" sqref="D30"/>
  </dataValidations>
  <printOptions horizontalCentered="1"/>
  <pageMargins left="0.23622047244094491" right="0.23622047244094491" top="0.74803149606299213" bottom="0.74803149606299213" header="0.31496062992125984" footer="0.31496062992125984"/>
  <pageSetup paperSize="9" scale="66" orientation="portrait" errors="NA" r:id="rId1"/>
  <headerFooter>
    <oddHeader>&amp;L&amp;"Tahoma,Regular"&amp;12شماره پرونده: 223
شناسه ملي آسانسور: 9089&amp;C&amp;"Tahoma,Bold"&amp;A&amp;R&amp;"Tahoma,Regular"&amp;12محاسبات استاندارد ملی 1-6303
ویرایش قدیم سال 81</oddHeader>
    <oddFooter>&amp;L&amp;D  V6.00
&amp;"Tahoma,Regular"&amp;12صفحه &amp;P از &amp;N&amp;R&amp;"Tahoma,Regular"&amp;12صحت کلیه موارد فوق مورد تایید این شرکت میباشد.
&amp;11مهر و امضای مجاز شرکت عرضه کننده آسانسور:</oddFooter>
  </headerFooter>
  <rowBreaks count="1" manualBreakCount="1">
    <brk id="32" max="10" man="1"/>
  </rowBreaks>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SheetGuideRails">
    <tabColor theme="8" tint="0.39997558519241921"/>
  </sheetPr>
  <dimension ref="A1:P18"/>
  <sheetViews>
    <sheetView showGridLines="0" showRowColHeaders="0" rightToLeft="1" zoomScale="130" zoomScaleNormal="130" workbookViewId="0">
      <selection activeCell="H16" sqref="H16"/>
    </sheetView>
  </sheetViews>
  <sheetFormatPr defaultColWidth="8.69921875" defaultRowHeight="12.75"/>
  <cols>
    <col min="1" max="1" width="2.296875" style="18" bestFit="1" customWidth="1"/>
    <col min="2" max="2" width="7.59765625" style="18" bestFit="1" customWidth="1"/>
    <col min="3" max="3" width="8.8984375" style="18" bestFit="1" customWidth="1"/>
    <col min="4" max="4" width="5.19921875" style="18" bestFit="1" customWidth="1"/>
    <col min="5" max="13" width="6" style="18" customWidth="1"/>
    <col min="14" max="15" width="8.69921875" style="18"/>
    <col min="16" max="16" width="7.3984375" style="18" bestFit="1" customWidth="1"/>
    <col min="17" max="17" width="3.69921875" style="18" bestFit="1" customWidth="1"/>
    <col min="18" max="16384" width="8.69921875" style="18"/>
  </cols>
  <sheetData>
    <row r="1" spans="1:16">
      <c r="A1" s="831" t="s">
        <v>432</v>
      </c>
      <c r="B1" s="826" t="s">
        <v>105</v>
      </c>
      <c r="C1" s="827"/>
      <c r="D1" s="827"/>
      <c r="E1" s="827"/>
      <c r="F1" s="827"/>
      <c r="G1" s="827"/>
      <c r="H1" s="827"/>
      <c r="I1" s="827"/>
      <c r="J1" s="827"/>
      <c r="K1" s="827"/>
      <c r="L1" s="828"/>
      <c r="M1" s="829"/>
      <c r="N1" s="19"/>
    </row>
    <row r="2" spans="1:16" ht="15.75">
      <c r="A2" s="831"/>
      <c r="B2" s="20" t="s">
        <v>106</v>
      </c>
      <c r="C2" s="21" t="s">
        <v>107</v>
      </c>
      <c r="D2" s="21" t="s">
        <v>108</v>
      </c>
      <c r="E2" s="21" t="s">
        <v>109</v>
      </c>
      <c r="F2" s="22" t="s">
        <v>110</v>
      </c>
      <c r="G2" s="21" t="s">
        <v>111</v>
      </c>
      <c r="H2" s="21" t="s">
        <v>112</v>
      </c>
      <c r="I2" s="21" t="s">
        <v>113</v>
      </c>
      <c r="J2" s="21" t="s">
        <v>114</v>
      </c>
      <c r="K2" s="21" t="s">
        <v>115</v>
      </c>
      <c r="L2" s="23" t="s">
        <v>116</v>
      </c>
      <c r="M2" s="24" t="s">
        <v>117</v>
      </c>
      <c r="N2" s="25"/>
    </row>
    <row r="3" spans="1:16" ht="13.5" thickBot="1">
      <c r="A3" s="831"/>
      <c r="B3" s="26"/>
      <c r="C3" s="27" t="s">
        <v>19</v>
      </c>
      <c r="D3" s="28" t="s">
        <v>118</v>
      </c>
      <c r="E3" s="28" t="s">
        <v>119</v>
      </c>
      <c r="F3" s="29" t="s">
        <v>19</v>
      </c>
      <c r="G3" s="28" t="s">
        <v>120</v>
      </c>
      <c r="H3" s="28" t="s">
        <v>121</v>
      </c>
      <c r="I3" s="28" t="s">
        <v>11</v>
      </c>
      <c r="J3" s="28" t="s">
        <v>120</v>
      </c>
      <c r="K3" s="28" t="s">
        <v>121</v>
      </c>
      <c r="L3" s="30" t="s">
        <v>11</v>
      </c>
      <c r="M3" s="31" t="s">
        <v>11</v>
      </c>
      <c r="N3" s="25"/>
    </row>
    <row r="4" spans="1:16">
      <c r="A4" s="18">
        <v>1</v>
      </c>
      <c r="B4" s="32" t="s">
        <v>122</v>
      </c>
      <c r="C4" s="33" t="s">
        <v>123</v>
      </c>
      <c r="D4" s="34">
        <v>4.25</v>
      </c>
      <c r="E4" s="34">
        <v>3.34</v>
      </c>
      <c r="F4" s="34">
        <v>5</v>
      </c>
      <c r="G4" s="35">
        <v>8.08</v>
      </c>
      <c r="H4" s="34">
        <v>2.5299999999999998</v>
      </c>
      <c r="I4" s="34">
        <v>1.38</v>
      </c>
      <c r="J4" s="35">
        <v>3.84</v>
      </c>
      <c r="K4" s="34">
        <v>1.71</v>
      </c>
      <c r="L4" s="36">
        <v>0.95</v>
      </c>
      <c r="M4" s="37">
        <f>IF(L4&lt;I4,L4,I4)</f>
        <v>0.95</v>
      </c>
      <c r="N4" s="38"/>
      <c r="O4" s="39"/>
    </row>
    <row r="5" spans="1:16">
      <c r="A5" s="18">
        <v>2</v>
      </c>
      <c r="B5" s="40" t="s">
        <v>124</v>
      </c>
      <c r="C5" s="41" t="s">
        <v>125</v>
      </c>
      <c r="D5" s="42">
        <v>4.75</v>
      </c>
      <c r="E5" s="42">
        <v>3.73</v>
      </c>
      <c r="F5" s="42">
        <v>5</v>
      </c>
      <c r="G5" s="43">
        <v>11.24</v>
      </c>
      <c r="H5" s="42">
        <v>3.15</v>
      </c>
      <c r="I5" s="42">
        <v>1.54</v>
      </c>
      <c r="J5" s="43">
        <v>5.25</v>
      </c>
      <c r="K5" s="42">
        <v>2.1</v>
      </c>
      <c r="L5" s="44">
        <v>1.05</v>
      </c>
      <c r="M5" s="45">
        <f>IF(L5&lt;I5,L5,I5)</f>
        <v>1.05</v>
      </c>
      <c r="N5" s="38"/>
      <c r="O5" s="39"/>
    </row>
    <row r="6" spans="1:16">
      <c r="A6" s="18">
        <v>3</v>
      </c>
      <c r="B6" s="40" t="s">
        <v>126</v>
      </c>
      <c r="C6" s="41" t="s">
        <v>127</v>
      </c>
      <c r="D6" s="42">
        <v>9.51</v>
      </c>
      <c r="E6" s="42">
        <v>7.47</v>
      </c>
      <c r="F6" s="42">
        <v>6</v>
      </c>
      <c r="G6" s="43">
        <v>41.3</v>
      </c>
      <c r="H6" s="42">
        <v>9.24</v>
      </c>
      <c r="I6" s="42">
        <v>2.09</v>
      </c>
      <c r="J6" s="43">
        <v>18.649999999999999</v>
      </c>
      <c r="K6" s="42">
        <v>5.35</v>
      </c>
      <c r="L6" s="44">
        <v>1.4</v>
      </c>
      <c r="M6" s="45">
        <f>IF(L6&lt;I6,L6,I6)</f>
        <v>1.4</v>
      </c>
      <c r="N6" s="38"/>
      <c r="O6" s="39"/>
    </row>
    <row r="7" spans="1:16">
      <c r="A7" s="18">
        <v>4</v>
      </c>
      <c r="B7" s="40" t="s">
        <v>128</v>
      </c>
      <c r="C7" s="41" t="s">
        <v>129</v>
      </c>
      <c r="D7" s="42">
        <v>11.25</v>
      </c>
      <c r="E7" s="42">
        <v>8.83</v>
      </c>
      <c r="F7" s="42">
        <v>7.9</v>
      </c>
      <c r="G7" s="43">
        <v>52.81</v>
      </c>
      <c r="H7" s="42">
        <v>10.79</v>
      </c>
      <c r="I7" s="42">
        <v>2.16</v>
      </c>
      <c r="J7" s="43">
        <v>24.62</v>
      </c>
      <c r="K7" s="42">
        <v>7.02</v>
      </c>
      <c r="L7" s="44">
        <v>1.48</v>
      </c>
      <c r="M7" s="45">
        <f>IF(L7&lt;I7,L7,I7)</f>
        <v>1.48</v>
      </c>
      <c r="N7" s="38"/>
      <c r="O7" s="39"/>
    </row>
    <row r="8" spans="1:16">
      <c r="A8" s="18">
        <v>5</v>
      </c>
      <c r="B8" s="40" t="s">
        <v>130</v>
      </c>
      <c r="C8" s="41" t="s">
        <v>131</v>
      </c>
      <c r="D8" s="42">
        <v>10.9</v>
      </c>
      <c r="E8" s="42">
        <v>8.5500000000000007</v>
      </c>
      <c r="F8" s="42">
        <v>7.5</v>
      </c>
      <c r="G8" s="43">
        <v>49.4</v>
      </c>
      <c r="H8" s="42">
        <v>10.199999999999999</v>
      </c>
      <c r="I8" s="42">
        <v>2.13</v>
      </c>
      <c r="J8" s="43">
        <v>30.5</v>
      </c>
      <c r="K8" s="42">
        <v>7.4</v>
      </c>
      <c r="L8" s="44">
        <v>1.67</v>
      </c>
      <c r="M8" s="45">
        <f t="shared" ref="M8:M16" si="0">IF(L8&lt;I8,L8,I8)</f>
        <v>1.67</v>
      </c>
      <c r="N8" s="38"/>
      <c r="O8" s="39"/>
    </row>
    <row r="9" spans="1:16">
      <c r="A9" s="18">
        <v>6</v>
      </c>
      <c r="B9" s="40" t="s">
        <v>133</v>
      </c>
      <c r="C9" s="41" t="s">
        <v>134</v>
      </c>
      <c r="D9" s="42">
        <v>15.7</v>
      </c>
      <c r="E9" s="42">
        <v>12.3</v>
      </c>
      <c r="F9" s="42">
        <v>10</v>
      </c>
      <c r="G9" s="43">
        <v>59.52</v>
      </c>
      <c r="H9" s="42">
        <v>14.25</v>
      </c>
      <c r="I9" s="42">
        <v>1.95</v>
      </c>
      <c r="J9" s="43">
        <v>52.4</v>
      </c>
      <c r="K9" s="42">
        <v>11.8</v>
      </c>
      <c r="L9" s="44">
        <v>1.83</v>
      </c>
      <c r="M9" s="45">
        <f>IF(L9&lt;I9,L9,I9)</f>
        <v>1.83</v>
      </c>
      <c r="N9" s="38"/>
      <c r="O9" s="39"/>
    </row>
    <row r="10" spans="1:16">
      <c r="A10" s="18">
        <v>7</v>
      </c>
      <c r="B10" s="40" t="s">
        <v>135</v>
      </c>
      <c r="C10" s="41" t="s">
        <v>136</v>
      </c>
      <c r="D10" s="42">
        <v>17.25</v>
      </c>
      <c r="E10" s="42">
        <v>13.55</v>
      </c>
      <c r="F10" s="42">
        <v>10</v>
      </c>
      <c r="G10" s="43">
        <v>102</v>
      </c>
      <c r="H10" s="42">
        <v>20.87</v>
      </c>
      <c r="I10" s="42">
        <v>2.4300000000000002</v>
      </c>
      <c r="J10" s="43">
        <v>52.6</v>
      </c>
      <c r="K10" s="42">
        <v>11.8</v>
      </c>
      <c r="L10" s="44">
        <v>1.75</v>
      </c>
      <c r="M10" s="45">
        <f t="shared" si="0"/>
        <v>1.75</v>
      </c>
      <c r="N10" s="38"/>
      <c r="O10" s="39"/>
      <c r="P10" s="46" t="s">
        <v>132</v>
      </c>
    </row>
    <row r="11" spans="1:16">
      <c r="A11" s="18">
        <v>8</v>
      </c>
      <c r="B11" s="40" t="s">
        <v>137</v>
      </c>
      <c r="C11" s="41" t="s">
        <v>138</v>
      </c>
      <c r="D11" s="42">
        <v>20.85</v>
      </c>
      <c r="E11" s="42">
        <v>16.37</v>
      </c>
      <c r="F11" s="42">
        <v>9.5</v>
      </c>
      <c r="G11" s="43">
        <v>179</v>
      </c>
      <c r="H11" s="42">
        <v>29.7</v>
      </c>
      <c r="I11" s="42">
        <v>2.93</v>
      </c>
      <c r="J11" s="43">
        <v>109</v>
      </c>
      <c r="K11" s="42">
        <v>19.100000000000001</v>
      </c>
      <c r="L11" s="44">
        <v>2.29</v>
      </c>
      <c r="M11" s="45">
        <f t="shared" si="0"/>
        <v>2.29</v>
      </c>
      <c r="N11" s="38"/>
      <c r="O11" s="39"/>
    </row>
    <row r="12" spans="1:16">
      <c r="A12" s="18">
        <v>9</v>
      </c>
      <c r="B12" s="40" t="s">
        <v>139</v>
      </c>
      <c r="C12" s="41" t="s">
        <v>140</v>
      </c>
      <c r="D12" s="42">
        <v>22.83</v>
      </c>
      <c r="E12" s="42">
        <v>17.899999999999999</v>
      </c>
      <c r="F12" s="42">
        <v>10</v>
      </c>
      <c r="G12" s="43">
        <v>151</v>
      </c>
      <c r="H12" s="42">
        <v>26.2</v>
      </c>
      <c r="I12" s="42">
        <v>2.57</v>
      </c>
      <c r="J12" s="43">
        <v>159</v>
      </c>
      <c r="K12" s="42">
        <v>25.4</v>
      </c>
      <c r="L12" s="44">
        <v>2.64</v>
      </c>
      <c r="M12" s="45">
        <f t="shared" si="0"/>
        <v>2.57</v>
      </c>
      <c r="N12" s="38"/>
      <c r="O12" s="39"/>
    </row>
    <row r="13" spans="1:16">
      <c r="A13" s="18">
        <v>10</v>
      </c>
      <c r="B13" s="40" t="s">
        <v>144</v>
      </c>
      <c r="C13" s="41" t="s">
        <v>145</v>
      </c>
      <c r="D13" s="42">
        <v>35.200000000000003</v>
      </c>
      <c r="E13" s="42">
        <v>27.6</v>
      </c>
      <c r="F13" s="42">
        <v>12.7</v>
      </c>
      <c r="G13" s="43">
        <v>404</v>
      </c>
      <c r="H13" s="42">
        <v>53.4</v>
      </c>
      <c r="I13" s="42">
        <v>3.39</v>
      </c>
      <c r="J13" s="43">
        <v>310</v>
      </c>
      <c r="K13" s="42">
        <v>44.3</v>
      </c>
      <c r="L13" s="44">
        <v>2.97</v>
      </c>
      <c r="M13" s="45">
        <f t="shared" si="0"/>
        <v>2.97</v>
      </c>
      <c r="N13" s="38"/>
      <c r="O13" s="39"/>
    </row>
    <row r="14" spans="1:16">
      <c r="A14" s="18">
        <v>11</v>
      </c>
      <c r="B14" s="40" t="s">
        <v>141</v>
      </c>
      <c r="C14" s="41" t="s">
        <v>142</v>
      </c>
      <c r="D14" s="42">
        <v>22.64</v>
      </c>
      <c r="E14" s="42">
        <v>17.77</v>
      </c>
      <c r="F14" s="42">
        <v>10</v>
      </c>
      <c r="G14" s="43">
        <v>186.2</v>
      </c>
      <c r="H14" s="42">
        <v>30.4</v>
      </c>
      <c r="I14" s="42">
        <v>2.87</v>
      </c>
      <c r="J14" s="43">
        <v>148</v>
      </c>
      <c r="K14" s="42">
        <v>23.4</v>
      </c>
      <c r="L14" s="44">
        <v>2.56</v>
      </c>
      <c r="M14" s="45">
        <f t="shared" si="0"/>
        <v>2.56</v>
      </c>
      <c r="N14" s="38"/>
      <c r="O14" s="39"/>
    </row>
    <row r="15" spans="1:16">
      <c r="A15" s="18">
        <v>12</v>
      </c>
      <c r="B15" s="40" t="s">
        <v>143</v>
      </c>
      <c r="C15" s="41" t="s">
        <v>142</v>
      </c>
      <c r="D15" s="42">
        <v>28.63</v>
      </c>
      <c r="E15" s="42">
        <v>22.48</v>
      </c>
      <c r="F15" s="42">
        <v>10</v>
      </c>
      <c r="G15" s="43">
        <v>198.4</v>
      </c>
      <c r="H15" s="42">
        <v>30.9</v>
      </c>
      <c r="I15" s="42">
        <v>2.63</v>
      </c>
      <c r="J15" s="43">
        <v>230</v>
      </c>
      <c r="K15" s="42">
        <v>36.200000000000003</v>
      </c>
      <c r="L15" s="44">
        <v>2.83</v>
      </c>
      <c r="M15" s="45">
        <f t="shared" si="0"/>
        <v>2.63</v>
      </c>
      <c r="N15" s="38"/>
      <c r="O15" s="39"/>
    </row>
    <row r="16" spans="1:16" ht="13.5" thickBot="1">
      <c r="A16" s="18">
        <v>13</v>
      </c>
      <c r="B16" s="295" t="s">
        <v>764</v>
      </c>
      <c r="C16" s="296" t="s">
        <v>765</v>
      </c>
      <c r="D16" s="297">
        <v>43.22</v>
      </c>
      <c r="E16" s="297">
        <v>33.92</v>
      </c>
      <c r="F16" s="297">
        <v>17.5</v>
      </c>
      <c r="G16" s="298">
        <v>457</v>
      </c>
      <c r="H16" s="297">
        <v>68</v>
      </c>
      <c r="I16" s="297">
        <v>3.25</v>
      </c>
      <c r="J16" s="298">
        <v>358</v>
      </c>
      <c r="K16" s="297">
        <v>51.2</v>
      </c>
      <c r="L16" s="299">
        <v>2.88</v>
      </c>
      <c r="M16" s="300">
        <f t="shared" si="0"/>
        <v>2.88</v>
      </c>
      <c r="N16" s="38"/>
      <c r="O16" s="39"/>
    </row>
    <row r="17" spans="2:13">
      <c r="B17" s="18">
        <v>1</v>
      </c>
      <c r="C17" s="18">
        <v>2</v>
      </c>
      <c r="D17" s="18">
        <v>3</v>
      </c>
      <c r="E17" s="18">
        <v>4</v>
      </c>
      <c r="F17" s="18">
        <v>5</v>
      </c>
      <c r="G17" s="18">
        <v>6</v>
      </c>
      <c r="H17" s="18">
        <v>7</v>
      </c>
      <c r="I17" s="18">
        <v>8</v>
      </c>
      <c r="J17" s="18">
        <v>9</v>
      </c>
      <c r="K17" s="18">
        <v>10</v>
      </c>
      <c r="L17" s="18">
        <v>11</v>
      </c>
      <c r="M17" s="18">
        <v>12</v>
      </c>
    </row>
    <row r="18" spans="2:13" ht="21.6" customHeight="1">
      <c r="B18" s="830" t="s">
        <v>433</v>
      </c>
      <c r="C18" s="830"/>
      <c r="D18" s="830"/>
      <c r="E18" s="830"/>
      <c r="F18" s="830"/>
      <c r="G18" s="830"/>
      <c r="H18" s="830"/>
      <c r="I18" s="830"/>
      <c r="J18" s="830"/>
      <c r="K18" s="830"/>
      <c r="L18" s="830"/>
      <c r="M18" s="830"/>
    </row>
  </sheetData>
  <sheetProtection algorithmName="SHA-512" hashValue="JV+Kt/zJOEPxs8WTqCnegW2aeDIvo0ZX5VhYpHBb032YBi+TqXtNRGF7jA+0kmSjwsaGq3tJP2fveEr8zb8TFA==" saltValue="yQ5Pn4CieRAn44RlIgefwQ==" spinCount="100000" sheet="1" objects="1" scenarios="1" selectLockedCells="1"/>
  <customSheetViews>
    <customSheetView guid="{0B2838C1-64E2-4766-B82E-FE301CB42C7D}" scale="120" showGridLines="0">
      <selection activeCell="B4" sqref="B4:M20"/>
      <pageMargins left="0.7" right="0.7" top="0.75" bottom="0.75" header="0.3" footer="0.3"/>
    </customSheetView>
    <customSheetView guid="{ADB28B25-780E-4315-A7F7-F519CAE45D94}" scale="140" showGridLines="0" showRowCol="0">
      <selection activeCell="B18" sqref="B18:M18"/>
      <pageMargins left="0.7" right="0.7" top="0.75" bottom="0.75" header="0.3" footer="0.3"/>
      <pageSetup orientation="portrait" r:id="rId1"/>
    </customSheetView>
  </customSheetViews>
  <mergeCells count="3">
    <mergeCell ref="B1:M1"/>
    <mergeCell ref="B18:M18"/>
    <mergeCell ref="A1:A3"/>
  </mergeCells>
  <pageMargins left="0.7" right="0.7" top="0.75" bottom="0.75" header="0.3" footer="0.3"/>
  <pageSetup orientation="portrait" r:id="rId2"/>
  <headerFooter>
    <oddHeader>&amp;L&amp;12&amp;"Tahoma"شماره پرونده: 8798_x000D_شناسه ملي آسانسور: 7899874342</oddHeader>
  </headerFooter>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purl.oclc.org/ooxml/officeDocument/customXml" ds:itemID="{D5696B28-B217-4AEC-A811-8A354E9DBFBB}">
  <ds:schemaRefs>
    <ds:schemaRef ds:uri="http://schemas.microsoft.com/office/2006/customDocumentInformationPanel"/>
    <ds:schemaRef ds:uri="http://www.w3.org/2000/xmln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214</vt:i4>
      </vt:variant>
    </vt:vector>
  </HeadingPairs>
  <TitlesOfParts>
    <vt:vector size="224" baseType="lpstr">
      <vt:lpstr>ورودی ها</vt:lpstr>
      <vt:lpstr>مشخصات فنی</vt:lpstr>
      <vt:lpstr>محاسبات  ریل</vt:lpstr>
      <vt:lpstr>محاسبات  سیم بکسل</vt:lpstr>
      <vt:lpstr>محاسبات دیگر </vt:lpstr>
      <vt:lpstr>برگه نهايي</vt:lpstr>
      <vt:lpstr>برگه نهايي 81</vt:lpstr>
      <vt:lpstr>ریلهای راهنما</vt:lpstr>
      <vt:lpstr>سيم بکسلها</vt:lpstr>
      <vt:lpstr>Sheet1</vt:lpstr>
      <vt:lpstr>µ1</vt:lpstr>
      <vt:lpstr>µ2</vt:lpstr>
      <vt:lpstr>µ3</vt:lpstr>
      <vt:lpstr>A</vt:lpstr>
      <vt:lpstr>a.</vt:lpstr>
      <vt:lpstr>A1.</vt:lpstr>
      <vt:lpstr>A2.</vt:lpstr>
      <vt:lpstr>A3.</vt:lpstr>
      <vt:lpstr>Alpha</vt:lpstr>
      <vt:lpstr>Alpha.</vt:lpstr>
      <vt:lpstr>Alpha2</vt:lpstr>
      <vt:lpstr>Amax</vt:lpstr>
      <vt:lpstr>Amin</vt:lpstr>
      <vt:lpstr>Atotal</vt:lpstr>
      <vt:lpstr>au</vt:lpstr>
      <vt:lpstr>Beta</vt:lpstr>
      <vt:lpstr>bu</vt:lpstr>
      <vt:lpstr>c.</vt:lpstr>
      <vt:lpstr>C1.</vt:lpstr>
      <vt:lpstr>C2.</vt:lpstr>
      <vt:lpstr>Comp</vt:lpstr>
      <vt:lpstr>CP</vt:lpstr>
      <vt:lpstr>Cs</vt:lpstr>
      <vt:lpstr>CsMAX</vt:lpstr>
      <vt:lpstr>D2d</vt:lpstr>
      <vt:lpstr>DD</vt:lpstr>
      <vt:lpstr>DD1.</vt:lpstr>
      <vt:lpstr>DD2.</vt:lpstr>
      <vt:lpstr>DD3.</vt:lpstr>
      <vt:lpstr>DD4.</vt:lpstr>
      <vt:lpstr>dDP</vt:lpstr>
      <vt:lpstr>dDPcar</vt:lpstr>
      <vt:lpstr>dDPcwt</vt:lpstr>
      <vt:lpstr>Door_Type</vt:lpstr>
      <vt:lpstr>'برگه نهايي 81'!Door_Types</vt:lpstr>
      <vt:lpstr>Door_Types</vt:lpstr>
      <vt:lpstr>'برگه نهايي 81'!Door_width</vt:lpstr>
      <vt:lpstr>Door_width</vt:lpstr>
      <vt:lpstr>DoorNo.</vt:lpstr>
      <vt:lpstr>Dp</vt:lpstr>
      <vt:lpstr>dPcar</vt:lpstr>
      <vt:lpstr>dPcwt</vt:lpstr>
      <vt:lpstr>dsr</vt:lpstr>
      <vt:lpstr>Dt</vt:lpstr>
      <vt:lpstr>DT1.</vt:lpstr>
      <vt:lpstr>DT2.</vt:lpstr>
      <vt:lpstr>DT3.</vt:lpstr>
      <vt:lpstr>DT4.</vt:lpstr>
      <vt:lpstr>DW</vt:lpstr>
      <vt:lpstr>DW1.</vt:lpstr>
      <vt:lpstr>DW2.</vt:lpstr>
      <vt:lpstr>DW3.</vt:lpstr>
      <vt:lpstr>DW4.</vt:lpstr>
      <vt:lpstr>DX</vt:lpstr>
      <vt:lpstr>DY</vt:lpstr>
      <vt:lpstr>E</vt:lpstr>
      <vt:lpstr>En_D1</vt:lpstr>
      <vt:lpstr>En_D2</vt:lpstr>
      <vt:lpstr>En_D3</vt:lpstr>
      <vt:lpstr>En_D4</vt:lpstr>
      <vt:lpstr>EN81_</vt:lpstr>
      <vt:lpstr>f</vt:lpstr>
      <vt:lpstr>f1.</vt:lpstr>
      <vt:lpstr>f2.</vt:lpstr>
      <vt:lpstr>f3.</vt:lpstr>
      <vt:lpstr>Fa</vt:lpstr>
      <vt:lpstr>Fav</vt:lpstr>
      <vt:lpstr>Fbu</vt:lpstr>
      <vt:lpstr>File_ID</vt:lpstr>
      <vt:lpstr>File_ID_Temp</vt:lpstr>
      <vt:lpstr>Fk</vt:lpstr>
      <vt:lpstr>FRCar</vt:lpstr>
      <vt:lpstr>FRCwt</vt:lpstr>
      <vt:lpstr>Fs</vt:lpstr>
      <vt:lpstr>Fsr_min</vt:lpstr>
      <vt:lpstr>Gamma</vt:lpstr>
      <vt:lpstr>gn</vt:lpstr>
      <vt:lpstr>Groove_Type</vt:lpstr>
      <vt:lpstr>Group1</vt:lpstr>
      <vt:lpstr>GroupAlpha</vt:lpstr>
      <vt:lpstr>Guide_Rail_Table</vt:lpstr>
      <vt:lpstr>Guide_Rail_Type</vt:lpstr>
      <vt:lpstr>Guide_Shoe_Table</vt:lpstr>
      <vt:lpstr>Guide_Shoe_Type</vt:lpstr>
      <vt:lpstr>h</vt:lpstr>
      <vt:lpstr>H.</vt:lpstr>
      <vt:lpstr>Hardened</vt:lpstr>
      <vt:lpstr>hP</vt:lpstr>
      <vt:lpstr>i</vt:lpstr>
      <vt:lpstr>iDPcar</vt:lpstr>
      <vt:lpstr>iDPcwt</vt:lpstr>
      <vt:lpstr>InputErr</vt:lpstr>
      <vt:lpstr>'برگه نهايي 81'!InsCoName</vt:lpstr>
      <vt:lpstr>InsCoName</vt:lpstr>
      <vt:lpstr>iPcar</vt:lpstr>
      <vt:lpstr>iPcwt</vt:lpstr>
      <vt:lpstr>Ix</vt:lpstr>
      <vt:lpstr>Iy</vt:lpstr>
      <vt:lpstr>K1.</vt:lpstr>
      <vt:lpstr>K2.</vt:lpstr>
      <vt:lpstr>K3.</vt:lpstr>
      <vt:lpstr>Kp</vt:lpstr>
      <vt:lpstr>L</vt:lpstr>
      <vt:lpstr>Lift_ID</vt:lpstr>
      <vt:lpstr>Lift_ID_Temp</vt:lpstr>
      <vt:lpstr>Lift_Type</vt:lpstr>
      <vt:lpstr>loads</vt:lpstr>
      <vt:lpstr>lp</vt:lpstr>
      <vt:lpstr>Maux</vt:lpstr>
      <vt:lpstr>Max_Car_Area</vt:lpstr>
      <vt:lpstr>MComp</vt:lpstr>
      <vt:lpstr>mcr</vt:lpstr>
      <vt:lpstr>MCR.</vt:lpstr>
      <vt:lpstr>Mcwt</vt:lpstr>
      <vt:lpstr>mDPcar</vt:lpstr>
      <vt:lpstr>mDPcwt</vt:lpstr>
      <vt:lpstr>mg</vt:lpstr>
      <vt:lpstr>Mgb</vt:lpstr>
      <vt:lpstr>Min_Car_Area</vt:lpstr>
      <vt:lpstr>Motor_type</vt:lpstr>
      <vt:lpstr>mPcar</vt:lpstr>
      <vt:lpstr>mPcwt</vt:lpstr>
      <vt:lpstr>mPTD</vt:lpstr>
      <vt:lpstr>mPTD.</vt:lpstr>
      <vt:lpstr>msr</vt:lpstr>
      <vt:lpstr>MSR.</vt:lpstr>
      <vt:lpstr>mt</vt:lpstr>
      <vt:lpstr>MTrav</vt:lpstr>
      <vt:lpstr>n</vt:lpstr>
      <vt:lpstr>nc</vt:lpstr>
      <vt:lpstr>Neq</vt:lpstr>
      <vt:lpstr>Neqp</vt:lpstr>
      <vt:lpstr>Neqt</vt:lpstr>
      <vt:lpstr>Neqtu</vt:lpstr>
      <vt:lpstr>Neqtv</vt:lpstr>
      <vt:lpstr>Neqtv50</vt:lpstr>
      <vt:lpstr>Npr</vt:lpstr>
      <vt:lpstr>Nps</vt:lpstr>
      <vt:lpstr>nS</vt:lpstr>
      <vt:lpstr>nt</vt:lpstr>
      <vt:lpstr>OH</vt:lpstr>
      <vt:lpstr>OtherErr</vt:lpstr>
      <vt:lpstr>P</vt:lpstr>
      <vt:lpstr>Passengers_No.</vt:lpstr>
      <vt:lpstr>Percent</vt:lpstr>
      <vt:lpstr>Pit</vt:lpstr>
      <vt:lpstr>'برگه نهايي'!Print_Area</vt:lpstr>
      <vt:lpstr>'برگه نهايي 81'!Print_Area</vt:lpstr>
      <vt:lpstr>'محاسبات  ریل'!Print_Area</vt:lpstr>
      <vt:lpstr>'محاسبات  سیم بکسل'!Print_Area</vt:lpstr>
      <vt:lpstr>'محاسبات دیگر '!Print_Area</vt:lpstr>
      <vt:lpstr>'ورودی ها'!Print_Area</vt:lpstr>
      <vt:lpstr>'ورودی ها'!Print_Titles</vt:lpstr>
      <vt:lpstr>PulleyReducedMass</vt:lpstr>
      <vt:lpstr>Q</vt:lpstr>
      <vt:lpstr>q.</vt:lpstr>
      <vt:lpstr>Q1.</vt:lpstr>
      <vt:lpstr>Q2.</vt:lpstr>
      <vt:lpstr>Q3.</vt:lpstr>
      <vt:lpstr>qm</vt:lpstr>
      <vt:lpstr>r.</vt:lpstr>
      <vt:lpstr>RailErr</vt:lpstr>
      <vt:lpstr>RDB</vt:lpstr>
      <vt:lpstr>Rope</vt:lpstr>
      <vt:lpstr>Rope_Brand</vt:lpstr>
      <vt:lpstr>Rope_Data_Table</vt:lpstr>
      <vt:lpstr>Rope_Type</vt:lpstr>
      <vt:lpstr>'برگه نهايي 81'!Rope_Type_Table</vt:lpstr>
      <vt:lpstr>Rope_Type_Table</vt:lpstr>
      <vt:lpstr>RopeDia</vt:lpstr>
      <vt:lpstr>RopeErr</vt:lpstr>
      <vt:lpstr>Safety_gear_Type</vt:lpstr>
      <vt:lpstr>Sf_cur</vt:lpstr>
      <vt:lpstr>Sf_min</vt:lpstr>
      <vt:lpstr>Stops</vt:lpstr>
      <vt:lpstr>SumErr</vt:lpstr>
      <vt:lpstr>SumOld</vt:lpstr>
      <vt:lpstr>SumTmp</vt:lpstr>
      <vt:lpstr>U_angles</vt:lpstr>
      <vt:lpstr>U_Neqt</vt:lpstr>
      <vt:lpstr>V_angles</vt:lpstr>
      <vt:lpstr>V_Neqt</vt:lpstr>
      <vt:lpstr>V_Neqt50</vt:lpstr>
      <vt:lpstr>VCar</vt:lpstr>
      <vt:lpstr>Vsr</vt:lpstr>
      <vt:lpstr>Wmax</vt:lpstr>
      <vt:lpstr>Wmid</vt:lpstr>
      <vt:lpstr>Wout</vt:lpstr>
      <vt:lpstr>Wr</vt:lpstr>
      <vt:lpstr>Wx</vt:lpstr>
      <vt:lpstr>Wy</vt:lpstr>
      <vt:lpstr>XC</vt:lpstr>
      <vt:lpstr>Xi</vt:lpstr>
      <vt:lpstr>XP</vt:lpstr>
      <vt:lpstr>XS</vt:lpstr>
      <vt:lpstr>y1.</vt:lpstr>
      <vt:lpstr>y2.</vt:lpstr>
      <vt:lpstr>y4.</vt:lpstr>
      <vt:lpstr>YC</vt:lpstr>
      <vt:lpstr>Yi</vt:lpstr>
      <vt:lpstr>YP</vt:lpstr>
      <vt:lpstr>YS</vt:lpstr>
      <vt:lpstr>α</vt:lpstr>
      <vt:lpstr>α.</vt:lpstr>
      <vt:lpstr>β</vt:lpstr>
      <vt:lpstr>β.</vt:lpstr>
      <vt:lpstr>γ</vt:lpstr>
      <vt:lpstr>γ.</vt:lpstr>
      <vt:lpstr>ηG</vt:lpstr>
      <vt:lpstr>ηP</vt:lpstr>
      <vt:lpstr>ηs</vt:lpstr>
      <vt:lpstr>λ</vt:lpstr>
      <vt:lpstr>σk</vt:lpstr>
      <vt:lpstr>ω</vt:lpstr>
    </vt:vector>
  </TitlesOfParts>
  <Manager>Hariri</Manager>
  <Company>سندیکای صنایع اسانسور و پله برفی;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محاسبات استاندارد ملی 1-6303 سال 93</dc:title>
  <dc:creator>سندیکای صنایع اسانسور و پله برفی;F.Hariri</dc:creator>
  <cp:lastModifiedBy>سید سعید سید حسینی</cp:lastModifiedBy>
  <cp:revision>1</cp:revision>
  <cp:lastPrinted>2019-05-25T23:08:56Z</cp:lastPrinted>
  <dcterms:created xsi:type="dcterms:W3CDTF">2016-02-21T20:23:12Z</dcterms:created>
  <dcterms:modified xsi:type="dcterms:W3CDTF">2020-02-08T04:59:09Z</dcterms:modified>
  <cp:category>EN 81 Calculation</cp:category>
  <cp:contentStatus>Version 6.00</cp:contentStatus>
  <dc:language>Farsi</dc:language>
  <cp:version>V6.00</cp:version>
</cp:coreProperties>
</file>